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entcohealth.sharepoint.com/sites/BoardofTrustees/Shared Documents/2023/Meeting Packets/December 18th, 2023 (Budget Meeting)/"/>
    </mc:Choice>
  </mc:AlternateContent>
  <xr:revisionPtr revIDLastSave="3" documentId="8_{8D964336-B7B2-49AC-B1E4-0B89FD9F5B6A}" xr6:coauthVersionLast="47" xr6:coauthVersionMax="47" xr10:uidLastSave="{88F75EC4-9FF7-4F05-8478-D364F394E6EB}"/>
  <bookViews>
    <workbookView xWindow="-120" yWindow="-120" windowWidth="29040" windowHeight="15840" xr2:uid="{00000000-000D-0000-FFFF-FFFF00000000}"/>
  </bookViews>
  <sheets>
    <sheet name="Statement of Activity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7" i="1" l="1"/>
  <c r="D155" i="1"/>
  <c r="J150" i="1"/>
  <c r="K150" i="1" s="1"/>
  <c r="J149" i="1"/>
  <c r="H154" i="1" l="1"/>
  <c r="D217" i="1" l="1"/>
  <c r="D218" i="1" s="1"/>
  <c r="D211" i="1"/>
  <c r="D201" i="1"/>
  <c r="D200" i="1"/>
  <c r="D191" i="1"/>
  <c r="D185" i="1"/>
  <c r="D166" i="1"/>
  <c r="D176" i="1" s="1"/>
  <c r="D160" i="1"/>
  <c r="D150" i="1"/>
  <c r="D139" i="1"/>
  <c r="D128" i="1"/>
  <c r="D131" i="1" s="1"/>
  <c r="D121" i="1"/>
  <c r="D117" i="1"/>
  <c r="D108" i="1"/>
  <c r="D97" i="1"/>
  <c r="D102" i="1" s="1"/>
  <c r="D84" i="1"/>
  <c r="D80" i="1"/>
  <c r="D83" i="1" s="1"/>
  <c r="D64" i="1"/>
  <c r="D72" i="1" s="1"/>
  <c r="D49" i="1"/>
  <c r="D50" i="1" s="1"/>
  <c r="D34" i="1"/>
  <c r="D36" i="1" s="1"/>
  <c r="D16" i="1"/>
  <c r="D18" i="1" s="1"/>
  <c r="D219" i="1" l="1"/>
  <c r="D204" i="1"/>
  <c r="D86" i="1"/>
  <c r="D39" i="1"/>
  <c r="D51" i="1" s="1"/>
  <c r="C8" i="1"/>
  <c r="C10" i="1"/>
  <c r="C11" i="1"/>
  <c r="C13" i="1"/>
  <c r="C19" i="1"/>
  <c r="C31" i="1"/>
  <c r="C40" i="1"/>
  <c r="C41" i="1"/>
  <c r="C44" i="1"/>
  <c r="C54" i="1"/>
  <c r="C59" i="1"/>
  <c r="C60" i="1"/>
  <c r="C65" i="1"/>
  <c r="C75" i="1"/>
  <c r="C77" i="1"/>
  <c r="C89" i="1"/>
  <c r="C90" i="1"/>
  <c r="C103" i="1"/>
  <c r="C109" i="1"/>
  <c r="C112" i="1"/>
  <c r="C118" i="1"/>
  <c r="C123" i="1"/>
  <c r="C132" i="1"/>
  <c r="C140" i="1"/>
  <c r="C151" i="1"/>
  <c r="C152" i="1"/>
  <c r="C161" i="1"/>
  <c r="C163" i="1"/>
  <c r="C168" i="1"/>
  <c r="C177" i="1"/>
  <c r="C193" i="1"/>
  <c r="C198" i="1"/>
  <c r="C206" i="1"/>
  <c r="C212" i="1"/>
  <c r="C7" i="1"/>
  <c r="B216" i="1"/>
  <c r="C216" i="1" s="1"/>
  <c r="B215" i="1"/>
  <c r="C215" i="1" s="1"/>
  <c r="B214" i="1"/>
  <c r="B213" i="1"/>
  <c r="B210" i="1"/>
  <c r="C210" i="1" s="1"/>
  <c r="B209" i="1"/>
  <c r="C209" i="1" s="1"/>
  <c r="B208" i="1"/>
  <c r="C208" i="1" s="1"/>
  <c r="B207" i="1"/>
  <c r="B203" i="1"/>
  <c r="C203" i="1" s="1"/>
  <c r="B199" i="1"/>
  <c r="B200" i="1" s="1"/>
  <c r="C200" i="1" s="1"/>
  <c r="B197" i="1"/>
  <c r="C197" i="1" s="1"/>
  <c r="B196" i="1"/>
  <c r="C196" i="1" s="1"/>
  <c r="B195" i="1"/>
  <c r="C195" i="1" s="1"/>
  <c r="B194" i="1"/>
  <c r="B192" i="1"/>
  <c r="C192" i="1" s="1"/>
  <c r="B190" i="1"/>
  <c r="C190" i="1" s="1"/>
  <c r="B189" i="1"/>
  <c r="C189" i="1" s="1"/>
  <c r="B188" i="1"/>
  <c r="C188" i="1" s="1"/>
  <c r="B187" i="1"/>
  <c r="B186" i="1"/>
  <c r="C186" i="1" s="1"/>
  <c r="B184" i="1"/>
  <c r="C184" i="1" s="1"/>
  <c r="B183" i="1"/>
  <c r="C183" i="1" s="1"/>
  <c r="B182" i="1"/>
  <c r="C182" i="1" s="1"/>
  <c r="B181" i="1"/>
  <c r="C181" i="1" s="1"/>
  <c r="B180" i="1"/>
  <c r="C180" i="1" s="1"/>
  <c r="B179" i="1"/>
  <c r="C179" i="1" s="1"/>
  <c r="B178" i="1"/>
  <c r="C178" i="1" s="1"/>
  <c r="B175" i="1"/>
  <c r="C175" i="1" s="1"/>
  <c r="B174" i="1"/>
  <c r="C174" i="1" s="1"/>
  <c r="B173" i="1"/>
  <c r="C173" i="1" s="1"/>
  <c r="B172" i="1"/>
  <c r="C172" i="1" s="1"/>
  <c r="B169" i="1"/>
  <c r="B170" i="1" s="1"/>
  <c r="C170" i="1" s="1"/>
  <c r="B167" i="1"/>
  <c r="C167" i="1" s="1"/>
  <c r="B165" i="1"/>
  <c r="C165" i="1" s="1"/>
  <c r="B164" i="1"/>
  <c r="C164" i="1" s="1"/>
  <c r="B162" i="1"/>
  <c r="B159" i="1"/>
  <c r="C159" i="1" s="1"/>
  <c r="B158" i="1"/>
  <c r="C158" i="1" s="1"/>
  <c r="B156" i="1"/>
  <c r="C156" i="1" s="1"/>
  <c r="B155" i="1"/>
  <c r="C155" i="1" s="1"/>
  <c r="B154" i="1"/>
  <c r="C154" i="1" s="1"/>
  <c r="B153" i="1"/>
  <c r="C153" i="1" s="1"/>
  <c r="B149" i="1"/>
  <c r="C149" i="1" s="1"/>
  <c r="B148" i="1"/>
  <c r="C148" i="1" s="1"/>
  <c r="B147" i="1"/>
  <c r="C147" i="1" s="1"/>
  <c r="B146" i="1"/>
  <c r="C146" i="1" s="1"/>
  <c r="B145" i="1"/>
  <c r="C145" i="1" s="1"/>
  <c r="B144" i="1"/>
  <c r="C144" i="1" s="1"/>
  <c r="B143" i="1"/>
  <c r="C143" i="1" s="1"/>
  <c r="B142" i="1"/>
  <c r="C142" i="1" s="1"/>
  <c r="B141" i="1"/>
  <c r="B138" i="1"/>
  <c r="C138" i="1" s="1"/>
  <c r="B137" i="1"/>
  <c r="C137" i="1" s="1"/>
  <c r="B136" i="1"/>
  <c r="C136" i="1" s="1"/>
  <c r="B135" i="1"/>
  <c r="C135" i="1" s="1"/>
  <c r="B134" i="1"/>
  <c r="C134" i="1" s="1"/>
  <c r="B133" i="1"/>
  <c r="C133" i="1" s="1"/>
  <c r="B130" i="1"/>
  <c r="C130" i="1" s="1"/>
  <c r="B129" i="1"/>
  <c r="C129" i="1" s="1"/>
  <c r="B127" i="1"/>
  <c r="C127" i="1" s="1"/>
  <c r="B126" i="1"/>
  <c r="C126" i="1" s="1"/>
  <c r="B125" i="1"/>
  <c r="C125" i="1" s="1"/>
  <c r="B124" i="1"/>
  <c r="B122" i="1"/>
  <c r="C122" i="1" s="1"/>
  <c r="B120" i="1"/>
  <c r="C120" i="1" s="1"/>
  <c r="B119" i="1"/>
  <c r="C119" i="1" s="1"/>
  <c r="B116" i="1"/>
  <c r="C116" i="1" s="1"/>
  <c r="B115" i="1"/>
  <c r="C115" i="1" s="1"/>
  <c r="B114" i="1"/>
  <c r="C114" i="1" s="1"/>
  <c r="B113" i="1"/>
  <c r="C113" i="1" s="1"/>
  <c r="B110" i="1"/>
  <c r="C110" i="1" s="1"/>
  <c r="B107" i="1"/>
  <c r="C107" i="1" s="1"/>
  <c r="B106" i="1"/>
  <c r="C106" i="1" s="1"/>
  <c r="B105" i="1"/>
  <c r="C105" i="1" s="1"/>
  <c r="B104" i="1"/>
  <c r="C104" i="1" s="1"/>
  <c r="B101" i="1"/>
  <c r="C101" i="1" s="1"/>
  <c r="B100" i="1"/>
  <c r="C100" i="1" s="1"/>
  <c r="B99" i="1"/>
  <c r="C99" i="1" s="1"/>
  <c r="B98" i="1"/>
  <c r="C98" i="1" s="1"/>
  <c r="B97" i="1"/>
  <c r="C97" i="1" s="1"/>
  <c r="B96" i="1"/>
  <c r="C96" i="1" s="1"/>
  <c r="B95" i="1"/>
  <c r="C95" i="1" s="1"/>
  <c r="B94" i="1"/>
  <c r="C94" i="1" s="1"/>
  <c r="B93" i="1"/>
  <c r="C93" i="1" s="1"/>
  <c r="B92" i="1"/>
  <c r="C92" i="1" s="1"/>
  <c r="B91" i="1"/>
  <c r="C91" i="1" s="1"/>
  <c r="B87" i="1"/>
  <c r="C87" i="1" s="1"/>
  <c r="B85" i="1"/>
  <c r="C85" i="1" s="1"/>
  <c r="B84" i="1"/>
  <c r="C84" i="1" s="1"/>
  <c r="B82" i="1"/>
  <c r="C82" i="1" s="1"/>
  <c r="B81" i="1"/>
  <c r="C81" i="1" s="1"/>
  <c r="B79" i="1"/>
  <c r="C79" i="1" s="1"/>
  <c r="B78" i="1"/>
  <c r="B76" i="1"/>
  <c r="B74" i="1"/>
  <c r="C74" i="1" s="1"/>
  <c r="B73" i="1"/>
  <c r="C73" i="1" s="1"/>
  <c r="B71" i="1"/>
  <c r="C71" i="1" s="1"/>
  <c r="B69" i="1"/>
  <c r="C69" i="1" s="1"/>
  <c r="B68" i="1"/>
  <c r="C68" i="1" s="1"/>
  <c r="B67" i="1"/>
  <c r="C67" i="1" s="1"/>
  <c r="B66" i="1"/>
  <c r="B63" i="1"/>
  <c r="C63" i="1" s="1"/>
  <c r="B62" i="1"/>
  <c r="C62" i="1" s="1"/>
  <c r="B61" i="1"/>
  <c r="C61" i="1" s="1"/>
  <c r="C57" i="1"/>
  <c r="B55" i="1"/>
  <c r="B56" i="1" s="1"/>
  <c r="C56" i="1" s="1"/>
  <c r="C53" i="1"/>
  <c r="B52" i="1"/>
  <c r="C52" i="1" s="1"/>
  <c r="B48" i="1"/>
  <c r="C48" i="1" s="1"/>
  <c r="B45" i="1"/>
  <c r="B42" i="1"/>
  <c r="B43" i="1" s="1"/>
  <c r="B37" i="1"/>
  <c r="C37" i="1" s="1"/>
  <c r="B35" i="1"/>
  <c r="C35" i="1" s="1"/>
  <c r="B33" i="1"/>
  <c r="C33" i="1" s="1"/>
  <c r="B32" i="1"/>
  <c r="B30" i="1"/>
  <c r="C30" i="1" s="1"/>
  <c r="B29" i="1"/>
  <c r="C29" i="1" s="1"/>
  <c r="B28" i="1"/>
  <c r="C28" i="1" s="1"/>
  <c r="B27" i="1"/>
  <c r="C27" i="1" s="1"/>
  <c r="B26" i="1"/>
  <c r="C26" i="1" s="1"/>
  <c r="B25" i="1"/>
  <c r="C25" i="1" s="1"/>
  <c r="B24" i="1"/>
  <c r="C24" i="1" s="1"/>
  <c r="B23" i="1"/>
  <c r="C23" i="1" s="1"/>
  <c r="B22" i="1"/>
  <c r="C22" i="1" s="1"/>
  <c r="B21" i="1"/>
  <c r="B17" i="1"/>
  <c r="C17" i="1" s="1"/>
  <c r="B15" i="1"/>
  <c r="C15" i="1" s="1"/>
  <c r="B14" i="1"/>
  <c r="C14" i="1" s="1"/>
  <c r="B12" i="1"/>
  <c r="C12" i="1" s="1"/>
  <c r="B9" i="1"/>
  <c r="C9" i="1" s="1"/>
  <c r="B34" i="1" l="1"/>
  <c r="B217" i="1"/>
  <c r="C217" i="1" s="1"/>
  <c r="D88" i="1"/>
  <c r="D205" i="1" s="1"/>
  <c r="D220" i="1" s="1"/>
  <c r="C45" i="1"/>
  <c r="B49" i="1"/>
  <c r="B50" i="1" s="1"/>
  <c r="B201" i="1"/>
  <c r="C201" i="1" s="1"/>
  <c r="B80" i="1"/>
  <c r="C80" i="1" s="1"/>
  <c r="B191" i="1"/>
  <c r="C191" i="1" s="1"/>
  <c r="B211" i="1"/>
  <c r="C211" i="1" s="1"/>
  <c r="C199" i="1"/>
  <c r="B111" i="1"/>
  <c r="C111" i="1" s="1"/>
  <c r="C32" i="1"/>
  <c r="C34" i="1" s="1"/>
  <c r="C42" i="1"/>
  <c r="C55" i="1"/>
  <c r="C43" i="1"/>
  <c r="C194" i="1"/>
  <c r="B128" i="1"/>
  <c r="B139" i="1"/>
  <c r="C139" i="1" s="1"/>
  <c r="B150" i="1"/>
  <c r="C150" i="1" s="1"/>
  <c r="C124" i="1"/>
  <c r="B16" i="1"/>
  <c r="B157" i="1"/>
  <c r="B166" i="1"/>
  <c r="C166" i="1" s="1"/>
  <c r="C214" i="1"/>
  <c r="C141" i="1"/>
  <c r="C76" i="1"/>
  <c r="B70" i="1"/>
  <c r="C70" i="1" s="1"/>
  <c r="B185" i="1"/>
  <c r="C185" i="1" s="1"/>
  <c r="B218" i="1"/>
  <c r="C218" i="1" s="1"/>
  <c r="C213" i="1"/>
  <c r="C207" i="1"/>
  <c r="C169" i="1"/>
  <c r="B36" i="1"/>
  <c r="C36" i="1" s="1"/>
  <c r="B121" i="1"/>
  <c r="C121" i="1" s="1"/>
  <c r="C187" i="1"/>
  <c r="C162" i="1"/>
  <c r="C21" i="1"/>
  <c r="B64" i="1"/>
  <c r="C64" i="1" s="1"/>
  <c r="B102" i="1"/>
  <c r="C102" i="1" s="1"/>
  <c r="B108" i="1"/>
  <c r="C108" i="1" s="1"/>
  <c r="B117" i="1"/>
  <c r="C117" i="1" s="1"/>
  <c r="C78" i="1"/>
  <c r="C66" i="1"/>
  <c r="B176" i="1" l="1"/>
  <c r="C176" i="1" s="1"/>
  <c r="B83" i="1"/>
  <c r="C83" i="1" s="1"/>
  <c r="C50" i="1"/>
  <c r="B219" i="1"/>
  <c r="C219" i="1" s="1"/>
  <c r="B131" i="1"/>
  <c r="C128" i="1"/>
  <c r="B72" i="1"/>
  <c r="B18" i="1"/>
  <c r="B160" i="1"/>
  <c r="C160" i="1" s="1"/>
  <c r="C157" i="1"/>
  <c r="B86" i="1" l="1"/>
  <c r="C86" i="1" s="1"/>
  <c r="C72" i="1"/>
  <c r="C131" i="1"/>
  <c r="B204" i="1"/>
  <c r="B39" i="1"/>
  <c r="C204" i="1" l="1"/>
  <c r="C39" i="1"/>
  <c r="B51" i="1"/>
  <c r="C51" i="1" l="1"/>
  <c r="B88" i="1"/>
  <c r="B205" i="1" s="1"/>
  <c r="C205" i="1" s="1"/>
  <c r="C88" i="1" l="1"/>
  <c r="B220" i="1" l="1"/>
  <c r="C220" i="1" s="1"/>
</calcChain>
</file>

<file path=xl/sharedStrings.xml><?xml version="1.0" encoding="utf-8"?>
<sst xmlns="http://schemas.openxmlformats.org/spreadsheetml/2006/main" count="233" uniqueCount="233">
  <si>
    <t>Total</t>
  </si>
  <si>
    <t>Jan - Oct, 2023</t>
  </si>
  <si>
    <t>Revenue</t>
  </si>
  <si>
    <t xml:space="preserve">   Contributed income</t>
  </si>
  <si>
    <t xml:space="preserve">      Donations directed by individuals</t>
  </si>
  <si>
    <t xml:space="preserve">      Government grants &amp; contracts</t>
  </si>
  <si>
    <t xml:space="preserve">         DESE Contracts</t>
  </si>
  <si>
    <t xml:space="preserve">            93.994 Safe Cribs - Federal Portion</t>
  </si>
  <si>
    <t xml:space="preserve">            CCHC - Total</t>
  </si>
  <si>
    <t xml:space="preserve">               93.596 CCHC</t>
  </si>
  <si>
    <t xml:space="preserve">               93.994b CCHC Contract</t>
  </si>
  <si>
    <t xml:space="preserve">            Total CCHC - Total</t>
  </si>
  <si>
    <t xml:space="preserve">            Safe Cribs</t>
  </si>
  <si>
    <t xml:space="preserve">         Total DESE Contracts</t>
  </si>
  <si>
    <t xml:space="preserve">         DHSS Contracts</t>
  </si>
  <si>
    <t xml:space="preserve">            10.557 WIC</t>
  </si>
  <si>
    <t xml:space="preserve">            93.069 PHEP</t>
  </si>
  <si>
    <t xml:space="preserve">            93.268 C19 Adult Immunization</t>
  </si>
  <si>
    <t xml:space="preserve">            93.323 ELC Income</t>
  </si>
  <si>
    <t xml:space="preserve">            93.354 Workforce</t>
  </si>
  <si>
    <t xml:space="preserve">            93.391 Health Disparities Initiative</t>
  </si>
  <si>
    <t xml:space="preserve">            93.436 WISEWOMAN - Federal Portion</t>
  </si>
  <si>
    <t xml:space="preserve">            93.898 SMHW - Federal Portion</t>
  </si>
  <si>
    <t xml:space="preserve">            93.991 BCBH</t>
  </si>
  <si>
    <t xml:space="preserve">            93.994a MCH</t>
  </si>
  <si>
    <t xml:space="preserve">            CORE - Total</t>
  </si>
  <si>
    <t xml:space="preserve">               93.767 CORE - ARPA</t>
  </si>
  <si>
    <t xml:space="preserve">               CORE Contract - State</t>
  </si>
  <si>
    <t xml:space="preserve">            Total CORE - Total</t>
  </si>
  <si>
    <t xml:space="preserve">            SMHW Expansion Contract</t>
  </si>
  <si>
    <t xml:space="preserve">         Total DHSS Contracts</t>
  </si>
  <si>
    <t xml:space="preserve">         WIC Farmer's Market NP</t>
  </si>
  <si>
    <t xml:space="preserve">      Total Government grants &amp; contracts</t>
  </si>
  <si>
    <t xml:space="preserve">      Grants from other nonprofits</t>
  </si>
  <si>
    <t xml:space="preserve">         MFHC</t>
  </si>
  <si>
    <t xml:space="preserve">            93.217 Title X Family Planning</t>
  </si>
  <si>
    <t xml:space="preserve">         Total MFHC</t>
  </si>
  <si>
    <t xml:space="preserve">         NACCHO</t>
  </si>
  <si>
    <t xml:space="preserve">            93.421 PAVE Contract - NACCHO</t>
  </si>
  <si>
    <t xml:space="preserve">            93.421b Rural Workforce</t>
  </si>
  <si>
    <t xml:space="preserve">         Total NACCHO</t>
  </si>
  <si>
    <t xml:space="preserve">      Total Grants from other nonprofits</t>
  </si>
  <si>
    <t xml:space="preserve">   Total Contributed income</t>
  </si>
  <si>
    <t xml:space="preserve">   Interest Income</t>
  </si>
  <si>
    <t xml:space="preserve">   Patient Discounts</t>
  </si>
  <si>
    <t xml:space="preserve">   Sales</t>
  </si>
  <si>
    <t xml:space="preserve">      Over The Counter</t>
  </si>
  <si>
    <t xml:space="preserve">   Total Sales</t>
  </si>
  <si>
    <t xml:space="preserve">   Services</t>
  </si>
  <si>
    <t xml:space="preserve">      Clinical Services</t>
  </si>
  <si>
    <t xml:space="preserve">         Family Planning - FFS Income</t>
  </si>
  <si>
    <t xml:space="preserve">            Family Planning - Commerical</t>
  </si>
  <si>
    <t xml:space="preserve">            Family Planning - Medicaid</t>
  </si>
  <si>
    <t xml:space="preserve">            Family Planning - Patient Income</t>
  </si>
  <si>
    <t xml:space="preserve">         Total Family Planning - FFS Income</t>
  </si>
  <si>
    <t xml:space="preserve">         General Clinic</t>
  </si>
  <si>
    <t xml:space="preserve">            Cash Patients</t>
  </si>
  <si>
    <t xml:space="preserve">            Commercial Insurance</t>
  </si>
  <si>
    <t xml:space="preserve">            Medicaid</t>
  </si>
  <si>
    <t xml:space="preserve">            Medicare</t>
  </si>
  <si>
    <t xml:space="preserve">         Total General Clinic</t>
  </si>
  <si>
    <t xml:space="preserve">         SMHW - FFS</t>
  </si>
  <si>
    <t xml:space="preserve">      Total Clinical Services</t>
  </si>
  <si>
    <t xml:space="preserve">      CPR and Community Education Income</t>
  </si>
  <si>
    <t xml:space="preserve">      Immunizations and Medications</t>
  </si>
  <si>
    <t xml:space="preserve">      Laboratory Income</t>
  </si>
  <si>
    <t xml:space="preserve">         Charges for Send-Out Labs</t>
  </si>
  <si>
    <t xml:space="preserve">         Infectious Disease Testing</t>
  </si>
  <si>
    <t xml:space="preserve">            Biofire Tests</t>
  </si>
  <si>
    <t xml:space="preserve">            Rapid Antigen Tests</t>
  </si>
  <si>
    <t xml:space="preserve">         Total Infectious Disease Testing</t>
  </si>
  <si>
    <t xml:space="preserve">         Other In-House Testing</t>
  </si>
  <si>
    <t xml:space="preserve">         Specimen Collection Fees</t>
  </si>
  <si>
    <t xml:space="preserve">      Total Laboratory Income</t>
  </si>
  <si>
    <t xml:space="preserve">      Treatment Court</t>
  </si>
  <si>
    <t xml:space="preserve">      Vital Records</t>
  </si>
  <si>
    <t xml:space="preserve">   Total Services</t>
  </si>
  <si>
    <t xml:space="preserve">   Tax Revenue</t>
  </si>
  <si>
    <t>Total Revenue</t>
  </si>
  <si>
    <t>Expenditures</t>
  </si>
  <si>
    <t xml:space="preserve">   Administrative Expenses</t>
  </si>
  <si>
    <t xml:space="preserve">      Accounting fees</t>
  </si>
  <si>
    <t xml:space="preserve">      Bank fees &amp; service charges</t>
  </si>
  <si>
    <t xml:space="preserve">      Board Expenses</t>
  </si>
  <si>
    <t xml:space="preserve">      Cash Over Short</t>
  </si>
  <si>
    <t xml:space="preserve">      Consulting Fees</t>
  </si>
  <si>
    <t xml:space="preserve">      Election Expenses</t>
  </si>
  <si>
    <t xml:space="preserve">      Electronic Health Records</t>
  </si>
  <si>
    <t xml:space="preserve">      Insurance</t>
  </si>
  <si>
    <t xml:space="preserve">      Minimum Order Fee and Fuel Surchages</t>
  </si>
  <si>
    <t xml:space="preserve">      Physician Services</t>
  </si>
  <si>
    <t xml:space="preserve">      Revenue Cycle Management</t>
  </si>
  <si>
    <t xml:space="preserve">   Total Administrative Expenses</t>
  </si>
  <si>
    <t xml:space="preserve">   Clinical Services</t>
  </si>
  <si>
    <t xml:space="preserve">      Contracted Clinical Services</t>
  </si>
  <si>
    <t xml:space="preserve">      Medical Supplies</t>
  </si>
  <si>
    <t xml:space="preserve">      Medications</t>
  </si>
  <si>
    <t xml:space="preserve">      Mobile Unit</t>
  </si>
  <si>
    <t xml:space="preserve">   Total Clinical Services</t>
  </si>
  <si>
    <t xml:space="preserve">   De Minimis</t>
  </si>
  <si>
    <t xml:space="preserve">      Office Furniture</t>
  </si>
  <si>
    <t xml:space="preserve">   Total De Minimis</t>
  </si>
  <si>
    <t xml:space="preserve">   Employee Development and Retention</t>
  </si>
  <si>
    <t xml:space="preserve">      Employee Incentives</t>
  </si>
  <si>
    <t xml:space="preserve">      Recruitment</t>
  </si>
  <si>
    <t xml:space="preserve">      Training Cost and Supplies</t>
  </si>
  <si>
    <t xml:space="preserve">      Uniforms</t>
  </si>
  <si>
    <t xml:space="preserve">   Total Employee Development and Retention</t>
  </si>
  <si>
    <t xml:space="preserve">   Immunizations</t>
  </si>
  <si>
    <t xml:space="preserve">      Monitoring  Supplies</t>
  </si>
  <si>
    <t xml:space="preserve">      Vaxcare</t>
  </si>
  <si>
    <t xml:space="preserve">   Total Immunizations</t>
  </si>
  <si>
    <t xml:space="preserve">   Interest paid</t>
  </si>
  <si>
    <t xml:space="preserve">   Laboratory Exp</t>
  </si>
  <si>
    <t xml:space="preserve">      CLIA-Waived Testing</t>
  </si>
  <si>
    <t xml:space="preserve">         Biofire Test Expense</t>
  </si>
  <si>
    <t xml:space="preserve">         CLIA User Fees</t>
  </si>
  <si>
    <t xml:space="preserve">         Other Testing (In-House) Expense</t>
  </si>
  <si>
    <t xml:space="preserve">      Total CLIA-Waived Testing</t>
  </si>
  <si>
    <t xml:space="preserve">      Lab Fees (Contracted)</t>
  </si>
  <si>
    <t xml:space="preserve">      Laboratory Supplies (Except Tests)</t>
  </si>
  <si>
    <t xml:space="preserve">   Total Laboratory Exp</t>
  </si>
  <si>
    <t xml:space="preserve">   Occupancy</t>
  </si>
  <si>
    <t xml:space="preserve">      Biohazard Disposal</t>
  </si>
  <si>
    <t xml:space="preserve">      Cleaning</t>
  </si>
  <si>
    <t xml:space="preserve">      Internet</t>
  </si>
  <si>
    <t xml:space="preserve">      Phone</t>
  </si>
  <si>
    <t xml:space="preserve">      Trash</t>
  </si>
  <si>
    <t xml:space="preserve">      Utilities</t>
  </si>
  <si>
    <t xml:space="preserve">   Total Occupancy</t>
  </si>
  <si>
    <t xml:space="preserve">   Office expenses</t>
  </si>
  <si>
    <t xml:space="preserve">      Dues/Memberships</t>
  </si>
  <si>
    <t xml:space="preserve">      ID Badge Printing</t>
  </si>
  <si>
    <t xml:space="preserve">      IT Supplies</t>
  </si>
  <si>
    <t xml:space="preserve">      Office Decor</t>
  </si>
  <si>
    <t xml:space="preserve">      Office supplies</t>
  </si>
  <si>
    <t xml:space="preserve">      Printing &amp; photocopying</t>
  </si>
  <si>
    <t xml:space="preserve">      Security and Safety Monitoring</t>
  </si>
  <si>
    <t xml:space="preserve">      Shipping &amp; postage</t>
  </si>
  <si>
    <t xml:space="preserve">      Software &amp; apps</t>
  </si>
  <si>
    <t xml:space="preserve">   Total Office expenses</t>
  </si>
  <si>
    <t xml:space="preserve">   Payroll expenses</t>
  </si>
  <si>
    <t xml:space="preserve">      Company Contributions</t>
  </si>
  <si>
    <t xml:space="preserve">         Dental</t>
  </si>
  <si>
    <t xml:space="preserve">         Health Insurance</t>
  </si>
  <si>
    <t xml:space="preserve">         Retirement</t>
  </si>
  <si>
    <t xml:space="preserve">         Vision</t>
  </si>
  <si>
    <t xml:space="preserve">      Total Company Contributions</t>
  </si>
  <si>
    <t xml:space="preserve">      Salaries and Wages</t>
  </si>
  <si>
    <t xml:space="preserve">      Taxes</t>
  </si>
  <si>
    <t xml:space="preserve">   Total Payroll expenses</t>
  </si>
  <si>
    <t xml:space="preserve">   Program Expense</t>
  </si>
  <si>
    <t xml:space="preserve">      BCBH Other Expense</t>
  </si>
  <si>
    <t xml:space="preserve">      CPR and Community Training Expense</t>
  </si>
  <si>
    <t xml:space="preserve">         CPR Certification Fees</t>
  </si>
  <si>
    <t xml:space="preserve">         CPR Training Materials and Supplies</t>
  </si>
  <si>
    <t xml:space="preserve">      Total CPR and Community Training Expense</t>
  </si>
  <si>
    <t xml:space="preserve">      Environmental</t>
  </si>
  <si>
    <t xml:space="preserve">      Health Disparities</t>
  </si>
  <si>
    <t xml:space="preserve">         Child Care Assistance</t>
  </si>
  <si>
    <t xml:space="preserve">      Total Health Disparities</t>
  </si>
  <si>
    <t xml:space="preserve">      MCH</t>
  </si>
  <si>
    <t xml:space="preserve">      PAVE</t>
  </si>
  <si>
    <t xml:space="preserve">      PHEP</t>
  </si>
  <si>
    <t xml:space="preserve">      WIC</t>
  </si>
  <si>
    <t xml:space="preserve">   Total Program Expense</t>
  </si>
  <si>
    <t xml:space="preserve">   Promotion &amp; marketing</t>
  </si>
  <si>
    <t xml:space="preserve">      Community Event Expense</t>
  </si>
  <si>
    <t xml:space="preserve">      General Promotion</t>
  </si>
  <si>
    <t xml:space="preserve">      Legal Notices</t>
  </si>
  <si>
    <t xml:space="preserve">      Printing and Mailing</t>
  </si>
  <si>
    <t xml:space="preserve">      Program Advertising</t>
  </si>
  <si>
    <t xml:space="preserve">      Signage</t>
  </si>
  <si>
    <t xml:space="preserve">      Website and Social Media Expense</t>
  </si>
  <si>
    <t xml:space="preserve">   Total Promotion &amp; marketing</t>
  </si>
  <si>
    <t xml:space="preserve">   Reimbursements</t>
  </si>
  <si>
    <t xml:space="preserve">   Repairs &amp; maintenance</t>
  </si>
  <si>
    <t xml:space="preserve">      Building and Equipment Repairs</t>
  </si>
  <si>
    <t xml:space="preserve">      Groundskeeping</t>
  </si>
  <si>
    <t xml:space="preserve">      Snow Removal</t>
  </si>
  <si>
    <t xml:space="preserve">   Total Repairs &amp; maintenance</t>
  </si>
  <si>
    <t xml:space="preserve">   Square Fees</t>
  </si>
  <si>
    <t xml:space="preserve">   Travel and Training</t>
  </si>
  <si>
    <t xml:space="preserve">      Hotels</t>
  </si>
  <si>
    <t xml:space="preserve">      Meals and Expenses</t>
  </si>
  <si>
    <t xml:space="preserve">      Mileage</t>
  </si>
  <si>
    <t xml:space="preserve">      Registration Fees</t>
  </si>
  <si>
    <t xml:space="preserve">      Transportation</t>
  </si>
  <si>
    <t xml:space="preserve">         Airfare</t>
  </si>
  <si>
    <t xml:space="preserve">      Total Transportation</t>
  </si>
  <si>
    <t xml:space="preserve">   Total Travel and Training</t>
  </si>
  <si>
    <t xml:space="preserve">   Vital Records Expense</t>
  </si>
  <si>
    <t>Total Expenditures</t>
  </si>
  <si>
    <t>Net Operating Revenue</t>
  </si>
  <si>
    <t>Other Revenue</t>
  </si>
  <si>
    <t xml:space="preserve">   Bank Error</t>
  </si>
  <si>
    <t xml:space="preserve">   Credit Card Rebates</t>
  </si>
  <si>
    <t xml:space="preserve">   Sales of Retired Property</t>
  </si>
  <si>
    <t xml:space="preserve">   Technology Fees</t>
  </si>
  <si>
    <t>Total Other Revenue</t>
  </si>
  <si>
    <t>Other Expenditures</t>
  </si>
  <si>
    <t xml:space="preserve">   Depreciation</t>
  </si>
  <si>
    <t xml:space="preserve">   Vehicle expenses</t>
  </si>
  <si>
    <t xml:space="preserve">      Vehicle gas &amp; fuel</t>
  </si>
  <si>
    <t xml:space="preserve">      Vehicle insurance</t>
  </si>
  <si>
    <t xml:space="preserve">   Total Vehicle expenses</t>
  </si>
  <si>
    <t>Total Other Expenditures</t>
  </si>
  <si>
    <t>Net Other Revenue</t>
  </si>
  <si>
    <t>Net Revenue</t>
  </si>
  <si>
    <t>Friday, Nov 03, 2023 08:23:40 AM GMT-7 - Cash Basis</t>
  </si>
  <si>
    <t>Dent County Health Center</t>
  </si>
  <si>
    <t>Annualized</t>
  </si>
  <si>
    <t>Total extension was 150,000. About 50,000 will be used by 2023</t>
  </si>
  <si>
    <t>CDC Lead</t>
  </si>
  <si>
    <t xml:space="preserve">            BUILD HAIAR</t>
  </si>
  <si>
    <t xml:space="preserve">            Public Health Infrastructure</t>
  </si>
  <si>
    <t xml:space="preserve">            Early Childhood</t>
  </si>
  <si>
    <t>Food Inspection Fees</t>
  </si>
  <si>
    <t>Ends 1/31/24</t>
  </si>
  <si>
    <t>Ends 7/31/24</t>
  </si>
  <si>
    <t>Ends 6/30/24</t>
  </si>
  <si>
    <t xml:space="preserve">      NACCHO Subcontracts</t>
  </si>
  <si>
    <t>due to interest rates</t>
  </si>
  <si>
    <t>Includes incentive funding</t>
  </si>
  <si>
    <t>Statement of Activity and Draft Budget</t>
  </si>
  <si>
    <t>FY 2024</t>
  </si>
  <si>
    <t>Premium per person</t>
  </si>
  <si>
    <t>Number employees</t>
  </si>
  <si>
    <t>Employee Pays</t>
  </si>
  <si>
    <t>DCHC pays</t>
  </si>
  <si>
    <t>Lagers Rate going down to 11.7%</t>
  </si>
  <si>
    <t>Proposed</t>
  </si>
  <si>
    <t>Capital Purchases already authorized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</si>
</sst>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164" formatCode="#,##0.00\ _€"/>
    <numFmt numFmtId="165" formatCode="&quot;$&quot;* #,##0.00\ _€"/>
    <numFmt numFmtId="166" formatCode="#,##0.00;[Red]\-#,##0.00"/>
    <numFmt numFmtId="167" formatCode="&quot;$&quot;* \-#,##0.00;[Red]&quot;$&quot;* \-#,##0.00"/>
    <numFmt numFmtId="168" formatCode="#,##0.0"/>
  </numFmts>
  <fonts count="9" x14ac:knownFonts="1">
    <font>
      <sz val="11"/>
      <color indexed="8"/>
      <name val="Calibri"/>
      <family val="2"/>
      <scheme val="minor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color indexed="8"/>
      <name val="Arial"/>
      <family val="2"/>
    </font>
    <font>
      <b/>
      <sz val="14"/>
      <color indexed="8"/>
      <name val="Arial"/>
      <family val="2"/>
    </font>
    <font>
      <b/>
      <sz val="10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44" fontId="5" fillId="0" borderId="0" applyFon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wrapText="1"/>
    </xf>
    <xf numFmtId="164" fontId="3" fillId="0" borderId="0" xfId="0" applyNumberFormat="1" applyFont="1" applyAlignment="1">
      <alignment wrapText="1"/>
    </xf>
    <xf numFmtId="164" fontId="3" fillId="0" borderId="0" xfId="0" applyNumberFormat="1" applyFont="1" applyAlignment="1">
      <alignment horizontal="right" wrapText="1"/>
    </xf>
    <xf numFmtId="165" fontId="2" fillId="0" borderId="2" xfId="0" applyNumberFormat="1" applyFont="1" applyBorder="1" applyAlignment="1">
      <alignment horizontal="right" wrapText="1"/>
    </xf>
    <xf numFmtId="166" fontId="3" fillId="0" borderId="0" xfId="0" applyNumberFormat="1" applyFont="1" applyAlignment="1">
      <alignment horizontal="right" wrapText="1"/>
    </xf>
    <xf numFmtId="167" fontId="2" fillId="0" borderId="2" xfId="0" applyNumberFormat="1" applyFont="1" applyBorder="1" applyAlignment="1">
      <alignment horizontal="right" wrapText="1"/>
    </xf>
    <xf numFmtId="165" fontId="2" fillId="0" borderId="3" xfId="0" applyNumberFormat="1" applyFont="1" applyBorder="1" applyAlignment="1">
      <alignment horizontal="right" wrapText="1"/>
    </xf>
    <xf numFmtId="44" fontId="3" fillId="0" borderId="0" xfId="1" applyFont="1" applyAlignment="1">
      <alignment wrapText="1"/>
    </xf>
    <xf numFmtId="44" fontId="3" fillId="0" borderId="0" xfId="1" applyFont="1" applyAlignment="1">
      <alignment horizontal="right" wrapText="1"/>
    </xf>
    <xf numFmtId="44" fontId="2" fillId="0" borderId="2" xfId="1" applyFont="1" applyBorder="1" applyAlignment="1">
      <alignment horizontal="right" wrapText="1"/>
    </xf>
    <xf numFmtId="168" fontId="2" fillId="0" borderId="2" xfId="0" applyNumberFormat="1" applyFont="1" applyBorder="1" applyAlignment="1">
      <alignment horizontal="right" wrapText="1"/>
    </xf>
    <xf numFmtId="164" fontId="0" fillId="0" borderId="0" xfId="0" applyNumberFormat="1"/>
    <xf numFmtId="165" fontId="6" fillId="0" borderId="0" xfId="0" applyNumberFormat="1" applyFont="1" applyAlignment="1">
      <alignment horizontal="right" wrapText="1"/>
    </xf>
    <xf numFmtId="44" fontId="6" fillId="0" borderId="0" xfId="1" applyFont="1" applyBorder="1" applyAlignment="1">
      <alignment horizontal="right" wrapText="1"/>
    </xf>
    <xf numFmtId="8" fontId="0" fillId="0" borderId="0" xfId="0" applyNumberFormat="1"/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3" fillId="0" borderId="0" xfId="0" applyFont="1" applyAlignment="1">
      <alignment horizontal="center"/>
    </xf>
    <xf numFmtId="0" fontId="0" fillId="0" borderId="0" xfId="0"/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64" fontId="2" fillId="0" borderId="0" xfId="0" applyNumberFormat="1" applyFont="1" applyAlignment="1">
      <alignment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24"/>
  <sheetViews>
    <sheetView tabSelected="1" topLeftCell="A191" workbookViewId="0">
      <selection activeCell="I216" sqref="I216"/>
    </sheetView>
  </sheetViews>
  <sheetFormatPr defaultRowHeight="15" x14ac:dyDescent="0.25"/>
  <cols>
    <col min="1" max="1" width="42.140625" customWidth="1"/>
    <col min="2" max="2" width="12" customWidth="1"/>
    <col min="3" max="3" width="11.140625" customWidth="1"/>
    <col min="4" max="4" width="11.85546875" customWidth="1"/>
    <col min="8" max="8" width="11.5703125" bestFit="1" customWidth="1"/>
    <col min="14" max="14" width="11.28515625" bestFit="1" customWidth="1"/>
  </cols>
  <sheetData>
    <row r="1" spans="1:4" ht="18" x14ac:dyDescent="0.25">
      <c r="A1" s="22" t="s">
        <v>210</v>
      </c>
      <c r="B1" s="21"/>
      <c r="C1" s="21"/>
      <c r="D1" s="21"/>
    </row>
    <row r="2" spans="1:4" ht="18" x14ac:dyDescent="0.25">
      <c r="A2" s="23" t="s">
        <v>224</v>
      </c>
      <c r="B2" s="21"/>
      <c r="C2" s="21"/>
      <c r="D2" s="21"/>
    </row>
    <row r="3" spans="1:4" x14ac:dyDescent="0.25">
      <c r="A3" s="24" t="s">
        <v>225</v>
      </c>
      <c r="B3" s="21"/>
      <c r="C3" s="21"/>
      <c r="D3" s="21"/>
    </row>
    <row r="5" spans="1:4" x14ac:dyDescent="0.25">
      <c r="A5" s="1"/>
      <c r="B5" s="18" t="s">
        <v>0</v>
      </c>
      <c r="C5" s="19"/>
      <c r="D5" s="19"/>
    </row>
    <row r="6" spans="1:4" ht="24.75" x14ac:dyDescent="0.25">
      <c r="A6" s="1"/>
      <c r="B6" s="2" t="s">
        <v>1</v>
      </c>
      <c r="C6" s="2" t="s">
        <v>211</v>
      </c>
      <c r="D6" s="2" t="s">
        <v>231</v>
      </c>
    </row>
    <row r="7" spans="1:4" x14ac:dyDescent="0.25">
      <c r="A7" s="3" t="s">
        <v>2</v>
      </c>
      <c r="B7" s="4"/>
      <c r="C7" s="4" t="str">
        <f>IF((B7*1.2)=0,"",B7*1.2)</f>
        <v/>
      </c>
      <c r="D7" s="10"/>
    </row>
    <row r="8" spans="1:4" x14ac:dyDescent="0.25">
      <c r="A8" s="3" t="s">
        <v>3</v>
      </c>
      <c r="B8" s="4"/>
      <c r="C8" s="4" t="str">
        <f t="shared" ref="C8:C75" si="0">IF((B8*1.2)=0,"",B8*1.2)</f>
        <v/>
      </c>
      <c r="D8" s="11"/>
    </row>
    <row r="9" spans="1:4" x14ac:dyDescent="0.25">
      <c r="A9" s="3" t="s">
        <v>4</v>
      </c>
      <c r="B9" s="5">
        <f>15.25</f>
        <v>15.25</v>
      </c>
      <c r="C9" s="4">
        <f t="shared" si="0"/>
        <v>18.3</v>
      </c>
      <c r="D9" s="11">
        <v>0</v>
      </c>
    </row>
    <row r="10" spans="1:4" x14ac:dyDescent="0.25">
      <c r="A10" s="3" t="s">
        <v>5</v>
      </c>
      <c r="B10" s="4"/>
      <c r="C10" s="4" t="str">
        <f t="shared" si="0"/>
        <v/>
      </c>
      <c r="D10" s="11"/>
    </row>
    <row r="11" spans="1:4" x14ac:dyDescent="0.25">
      <c r="A11" s="3" t="s">
        <v>6</v>
      </c>
      <c r="B11" s="4"/>
      <c r="C11" s="4" t="str">
        <f t="shared" si="0"/>
        <v/>
      </c>
      <c r="D11" s="11"/>
    </row>
    <row r="12" spans="1:4" x14ac:dyDescent="0.25">
      <c r="A12" s="3" t="s">
        <v>7</v>
      </c>
      <c r="B12" s="5">
        <f>50</f>
        <v>50</v>
      </c>
      <c r="C12" s="4">
        <f t="shared" si="0"/>
        <v>60</v>
      </c>
      <c r="D12" s="11">
        <v>50</v>
      </c>
    </row>
    <row r="13" spans="1:4" x14ac:dyDescent="0.25">
      <c r="A13" s="3" t="s">
        <v>8</v>
      </c>
      <c r="B13" s="4"/>
      <c r="C13" s="4" t="str">
        <f t="shared" si="0"/>
        <v/>
      </c>
      <c r="D13" s="11"/>
    </row>
    <row r="14" spans="1:4" x14ac:dyDescent="0.25">
      <c r="A14" s="3" t="s">
        <v>9</v>
      </c>
      <c r="B14" s="5">
        <f>3896.69</f>
        <v>3896.69</v>
      </c>
      <c r="C14" s="4">
        <f t="shared" si="0"/>
        <v>4676.0280000000002</v>
      </c>
      <c r="D14" s="11">
        <v>6397.99</v>
      </c>
    </row>
    <row r="15" spans="1:4" x14ac:dyDescent="0.25">
      <c r="A15" s="3" t="s">
        <v>10</v>
      </c>
      <c r="B15" s="5">
        <f>853.22</f>
        <v>853.22</v>
      </c>
      <c r="C15" s="4">
        <f t="shared" si="0"/>
        <v>1023.864</v>
      </c>
      <c r="D15" s="11">
        <v>3762.32</v>
      </c>
    </row>
    <row r="16" spans="1:4" x14ac:dyDescent="0.25">
      <c r="A16" s="3" t="s">
        <v>11</v>
      </c>
      <c r="B16" s="6">
        <f>((B13)+(B14))+(B15)</f>
        <v>4749.91</v>
      </c>
      <c r="C16" s="6"/>
      <c r="D16" s="6">
        <f t="shared" ref="D16" si="1">((D13)+(D14))+(D15)</f>
        <v>10160.31</v>
      </c>
    </row>
    <row r="17" spans="1:6" x14ac:dyDescent="0.25">
      <c r="A17" s="3" t="s">
        <v>12</v>
      </c>
      <c r="B17" s="5">
        <f>100</f>
        <v>100</v>
      </c>
      <c r="C17" s="4">
        <f t="shared" si="0"/>
        <v>120</v>
      </c>
      <c r="D17" s="11">
        <v>100</v>
      </c>
    </row>
    <row r="18" spans="1:6" x14ac:dyDescent="0.25">
      <c r="A18" s="3" t="s">
        <v>13</v>
      </c>
      <c r="B18" s="6">
        <f>(((B11)+(B12))+(B16))+(B17)</f>
        <v>4899.91</v>
      </c>
      <c r="C18" s="6"/>
      <c r="D18" s="6">
        <f t="shared" ref="D18" si="2">(((D11)+(D12))+(D16))+(D17)</f>
        <v>10310.31</v>
      </c>
    </row>
    <row r="19" spans="1:6" x14ac:dyDescent="0.25">
      <c r="A19" s="3" t="s">
        <v>14</v>
      </c>
      <c r="B19" s="4"/>
      <c r="C19" s="4" t="str">
        <f t="shared" si="0"/>
        <v/>
      </c>
      <c r="D19" s="11"/>
    </row>
    <row r="20" spans="1:6" x14ac:dyDescent="0.25">
      <c r="A20" s="3" t="s">
        <v>215</v>
      </c>
      <c r="B20" s="4"/>
      <c r="C20" s="4"/>
      <c r="D20" s="11">
        <v>47000</v>
      </c>
    </row>
    <row r="21" spans="1:6" x14ac:dyDescent="0.25">
      <c r="A21" s="3" t="s">
        <v>15</v>
      </c>
      <c r="B21" s="5">
        <f>119228.06</f>
        <v>119228.06</v>
      </c>
      <c r="C21" s="4">
        <f t="shared" si="0"/>
        <v>143073.67199999999</v>
      </c>
      <c r="D21" s="11">
        <v>126260</v>
      </c>
    </row>
    <row r="22" spans="1:6" x14ac:dyDescent="0.25">
      <c r="A22" s="3" t="s">
        <v>16</v>
      </c>
      <c r="B22" s="5">
        <f>15019.28</f>
        <v>15019.28</v>
      </c>
      <c r="C22" s="4">
        <f t="shared" si="0"/>
        <v>18023.135999999999</v>
      </c>
      <c r="D22" s="11">
        <v>17500</v>
      </c>
    </row>
    <row r="23" spans="1:6" x14ac:dyDescent="0.25">
      <c r="A23" s="3" t="s">
        <v>17</v>
      </c>
      <c r="B23" s="5">
        <f>76379.17</f>
        <v>76379.17</v>
      </c>
      <c r="C23" s="4">
        <f t="shared" si="0"/>
        <v>91655.004000000001</v>
      </c>
      <c r="D23" s="11">
        <v>0</v>
      </c>
      <c r="E23" t="s">
        <v>218</v>
      </c>
    </row>
    <row r="24" spans="1:6" x14ac:dyDescent="0.25">
      <c r="A24" s="3" t="s">
        <v>18</v>
      </c>
      <c r="B24" s="5">
        <f>19932.31</f>
        <v>19932.310000000001</v>
      </c>
      <c r="C24" s="4">
        <f t="shared" si="0"/>
        <v>23918.772000000001</v>
      </c>
      <c r="D24" s="11">
        <v>100000</v>
      </c>
      <c r="E24" t="s">
        <v>219</v>
      </c>
      <c r="F24" t="s">
        <v>212</v>
      </c>
    </row>
    <row r="25" spans="1:6" x14ac:dyDescent="0.25">
      <c r="A25" s="3" t="s">
        <v>19</v>
      </c>
      <c r="B25" s="5">
        <f>53950.78</f>
        <v>53950.78</v>
      </c>
      <c r="C25" s="4">
        <f t="shared" si="0"/>
        <v>64740.935999999994</v>
      </c>
      <c r="D25" s="11">
        <v>60000</v>
      </c>
      <c r="E25" t="s">
        <v>220</v>
      </c>
    </row>
    <row r="26" spans="1:6" x14ac:dyDescent="0.25">
      <c r="A26" s="3" t="s">
        <v>20</v>
      </c>
      <c r="B26" s="5">
        <f>1046263.14</f>
        <v>1046263.14</v>
      </c>
      <c r="C26" s="4">
        <f t="shared" si="0"/>
        <v>1255515.7679999999</v>
      </c>
      <c r="D26" s="11">
        <v>0</v>
      </c>
    </row>
    <row r="27" spans="1:6" x14ac:dyDescent="0.25">
      <c r="A27" s="3" t="s">
        <v>21</v>
      </c>
      <c r="B27" s="5">
        <f>431.44</f>
        <v>431.44</v>
      </c>
      <c r="C27" s="4">
        <f t="shared" si="0"/>
        <v>517.72799999999995</v>
      </c>
      <c r="D27" s="11">
        <v>500</v>
      </c>
    </row>
    <row r="28" spans="1:6" x14ac:dyDescent="0.25">
      <c r="A28" s="3" t="s">
        <v>22</v>
      </c>
      <c r="B28" s="5">
        <f>8654.28</f>
        <v>8654.2800000000007</v>
      </c>
      <c r="C28" s="4">
        <f t="shared" si="0"/>
        <v>10385.136</v>
      </c>
      <c r="D28" s="11">
        <v>10000</v>
      </c>
    </row>
    <row r="29" spans="1:6" x14ac:dyDescent="0.25">
      <c r="A29" s="3" t="s">
        <v>23</v>
      </c>
      <c r="B29" s="5">
        <f>67287.33</f>
        <v>67287.33</v>
      </c>
      <c r="C29" s="4">
        <f t="shared" si="0"/>
        <v>80744.796000000002</v>
      </c>
      <c r="D29" s="11">
        <v>100000</v>
      </c>
    </row>
    <row r="30" spans="1:6" x14ac:dyDescent="0.25">
      <c r="A30" s="3" t="s">
        <v>24</v>
      </c>
      <c r="B30" s="5">
        <f>17798.79</f>
        <v>17798.79</v>
      </c>
      <c r="C30" s="4">
        <f t="shared" si="0"/>
        <v>21358.547999999999</v>
      </c>
      <c r="D30" s="11">
        <v>20417.3</v>
      </c>
    </row>
    <row r="31" spans="1:6" x14ac:dyDescent="0.25">
      <c r="A31" s="3" t="s">
        <v>25</v>
      </c>
      <c r="B31" s="4"/>
      <c r="C31" s="4" t="str">
        <f t="shared" si="0"/>
        <v/>
      </c>
      <c r="D31" s="11"/>
    </row>
    <row r="32" spans="1:6" x14ac:dyDescent="0.25">
      <c r="A32" s="3" t="s">
        <v>26</v>
      </c>
      <c r="B32" s="5">
        <f>15248</f>
        <v>15248</v>
      </c>
      <c r="C32" s="4">
        <f t="shared" si="0"/>
        <v>18297.599999999999</v>
      </c>
      <c r="D32" s="11"/>
    </row>
    <row r="33" spans="1:5" x14ac:dyDescent="0.25">
      <c r="A33" s="3" t="s">
        <v>27</v>
      </c>
      <c r="B33" s="5">
        <f>36978</f>
        <v>36978</v>
      </c>
      <c r="C33" s="4">
        <f t="shared" si="0"/>
        <v>44373.599999999999</v>
      </c>
      <c r="D33" s="11">
        <v>65000</v>
      </c>
      <c r="E33" t="s">
        <v>223</v>
      </c>
    </row>
    <row r="34" spans="1:5" x14ac:dyDescent="0.25">
      <c r="A34" s="3" t="s">
        <v>28</v>
      </c>
      <c r="B34" s="6">
        <f>((B31)+(B32))+(B33)</f>
        <v>52226</v>
      </c>
      <c r="C34" s="13">
        <f>((C32))+(C33)</f>
        <v>62671.199999999997</v>
      </c>
      <c r="D34" s="6">
        <f t="shared" ref="D34" si="3">((D31)+(D32))+(D33)</f>
        <v>65000</v>
      </c>
    </row>
    <row r="35" spans="1:5" x14ac:dyDescent="0.25">
      <c r="A35" s="3" t="s">
        <v>29</v>
      </c>
      <c r="B35" s="5">
        <f>9531.33</f>
        <v>9531.33</v>
      </c>
      <c r="C35" s="4">
        <f t="shared" si="0"/>
        <v>11437.596</v>
      </c>
      <c r="D35" s="11"/>
    </row>
    <row r="36" spans="1:5" x14ac:dyDescent="0.25">
      <c r="A36" s="3" t="s">
        <v>30</v>
      </c>
      <c r="B36" s="6">
        <f>((((((((((((B19)+(B21))+(B22))+(B23))+(B24))+(B25))+(B26))+(B27))+(B28))+(B29))+(B30))+(B34))+(B35)</f>
        <v>1486701.9100000001</v>
      </c>
      <c r="C36" s="4">
        <f t="shared" si="0"/>
        <v>1784042.2920000001</v>
      </c>
      <c r="D36" s="6">
        <f>((((((((((((D20)+(D21))+(D22))+(D23))+(D24))+(D25))+(D26))+(D27))+(D28))+(D29))+(D30))+(D34))+(D35)</f>
        <v>546677.30000000005</v>
      </c>
    </row>
    <row r="37" spans="1:5" x14ac:dyDescent="0.25">
      <c r="A37" s="3" t="s">
        <v>31</v>
      </c>
      <c r="B37" s="5">
        <f>611</f>
        <v>611</v>
      </c>
      <c r="C37" s="4">
        <f t="shared" si="0"/>
        <v>733.19999999999993</v>
      </c>
      <c r="D37" s="11">
        <v>611</v>
      </c>
    </row>
    <row r="38" spans="1:5" x14ac:dyDescent="0.25">
      <c r="A38" s="3" t="s">
        <v>213</v>
      </c>
      <c r="B38" s="5">
        <v>0</v>
      </c>
      <c r="C38" s="4">
        <v>0</v>
      </c>
      <c r="D38" s="11">
        <v>175000</v>
      </c>
    </row>
    <row r="39" spans="1:5" x14ac:dyDescent="0.25">
      <c r="A39" s="3" t="s">
        <v>32</v>
      </c>
      <c r="B39" s="6">
        <f>(((B10)+(B18))+(B36))+(B37)</f>
        <v>1492212.82</v>
      </c>
      <c r="C39" s="4">
        <f t="shared" si="0"/>
        <v>1790655.3840000001</v>
      </c>
      <c r="D39" s="6">
        <f>(((D10)+(D18))+(D36))+(D37)+D38</f>
        <v>732598.6100000001</v>
      </c>
    </row>
    <row r="40" spans="1:5" x14ac:dyDescent="0.25">
      <c r="A40" s="3" t="s">
        <v>33</v>
      </c>
      <c r="B40" s="4"/>
      <c r="C40" s="4" t="str">
        <f t="shared" si="0"/>
        <v/>
      </c>
      <c r="D40" s="11"/>
    </row>
    <row r="41" spans="1:5" x14ac:dyDescent="0.25">
      <c r="A41" s="3" t="s">
        <v>34</v>
      </c>
      <c r="B41" s="4"/>
      <c r="C41" s="4" t="str">
        <f t="shared" si="0"/>
        <v/>
      </c>
      <c r="D41" s="11"/>
    </row>
    <row r="42" spans="1:5" x14ac:dyDescent="0.25">
      <c r="A42" s="3" t="s">
        <v>35</v>
      </c>
      <c r="B42" s="5">
        <f>42542.56</f>
        <v>42542.559999999998</v>
      </c>
      <c r="C42" s="4">
        <f t="shared" si="0"/>
        <v>51051.071999999993</v>
      </c>
      <c r="D42" s="11">
        <v>35000</v>
      </c>
    </row>
    <row r="43" spans="1:5" x14ac:dyDescent="0.25">
      <c r="A43" s="3" t="s">
        <v>36</v>
      </c>
      <c r="B43" s="6">
        <f>(B41)+(B42)</f>
        <v>42542.559999999998</v>
      </c>
      <c r="C43" s="4">
        <f t="shared" si="0"/>
        <v>51051.071999999993</v>
      </c>
      <c r="D43" s="12">
        <v>35000</v>
      </c>
    </row>
    <row r="44" spans="1:5" x14ac:dyDescent="0.25">
      <c r="A44" s="3" t="s">
        <v>37</v>
      </c>
      <c r="B44" s="4"/>
      <c r="C44" s="4" t="str">
        <f t="shared" si="0"/>
        <v/>
      </c>
      <c r="D44" s="11"/>
    </row>
    <row r="45" spans="1:5" x14ac:dyDescent="0.25">
      <c r="A45" s="3" t="s">
        <v>38</v>
      </c>
      <c r="B45" s="5">
        <f>35500</f>
        <v>35500</v>
      </c>
      <c r="C45" s="4">
        <f t="shared" si="0"/>
        <v>42600</v>
      </c>
      <c r="D45" s="11"/>
    </row>
    <row r="46" spans="1:5" x14ac:dyDescent="0.25">
      <c r="A46" s="3" t="s">
        <v>214</v>
      </c>
      <c r="B46" s="5"/>
      <c r="C46" s="4"/>
      <c r="D46" s="11">
        <v>80000</v>
      </c>
    </row>
    <row r="47" spans="1:5" x14ac:dyDescent="0.25">
      <c r="A47" s="3" t="s">
        <v>216</v>
      </c>
      <c r="B47" s="5"/>
      <c r="C47" s="4">
        <v>30000</v>
      </c>
      <c r="D47" s="11">
        <v>0</v>
      </c>
    </row>
    <row r="48" spans="1:5" x14ac:dyDescent="0.25">
      <c r="A48" s="3" t="s">
        <v>39</v>
      </c>
      <c r="B48" s="5">
        <f>35000</f>
        <v>35000</v>
      </c>
      <c r="C48" s="4">
        <f t="shared" si="0"/>
        <v>42000</v>
      </c>
      <c r="D48" s="11"/>
    </row>
    <row r="49" spans="1:8" x14ac:dyDescent="0.25">
      <c r="A49" s="3" t="s">
        <v>40</v>
      </c>
      <c r="B49" s="6">
        <f>(SUM(B45:B48))</f>
        <v>70500</v>
      </c>
      <c r="C49" s="4">
        <v>100000</v>
      </c>
      <c r="D49" s="12">
        <f>SUM(D45:D48)</f>
        <v>80000</v>
      </c>
    </row>
    <row r="50" spans="1:8" x14ac:dyDescent="0.25">
      <c r="A50" s="3" t="s">
        <v>41</v>
      </c>
      <c r="B50" s="6">
        <f>((B40)+(B43))+(B49)</f>
        <v>113042.56</v>
      </c>
      <c r="C50" s="4">
        <f t="shared" si="0"/>
        <v>135651.07199999999</v>
      </c>
      <c r="D50" s="6">
        <f>((D40)+(D43))+(D49)</f>
        <v>115000</v>
      </c>
    </row>
    <row r="51" spans="1:8" x14ac:dyDescent="0.25">
      <c r="A51" s="3" t="s">
        <v>42</v>
      </c>
      <c r="B51" s="6">
        <f>(((B8)+(B9))+(B39))+(B50)</f>
        <v>1605270.6300000001</v>
      </c>
      <c r="C51" s="4">
        <f t="shared" si="0"/>
        <v>1926324.7560000001</v>
      </c>
      <c r="D51" s="6">
        <f>(((D8)+(D9))+(D39))+(D50)</f>
        <v>847598.6100000001</v>
      </c>
    </row>
    <row r="52" spans="1:8" x14ac:dyDescent="0.25">
      <c r="A52" s="3" t="s">
        <v>43</v>
      </c>
      <c r="B52" s="5">
        <f>1387.26</f>
        <v>1387.26</v>
      </c>
      <c r="C52" s="4">
        <f t="shared" si="0"/>
        <v>1664.712</v>
      </c>
      <c r="D52" s="11">
        <v>25000</v>
      </c>
      <c r="E52" t="s">
        <v>222</v>
      </c>
      <c r="H52" s="17"/>
    </row>
    <row r="53" spans="1:8" x14ac:dyDescent="0.25">
      <c r="A53" s="3" t="s">
        <v>44</v>
      </c>
      <c r="B53" s="7"/>
      <c r="C53" s="4" t="str">
        <f t="shared" si="0"/>
        <v/>
      </c>
      <c r="D53" s="11">
        <v>0</v>
      </c>
    </row>
    <row r="54" spans="1:8" x14ac:dyDescent="0.25">
      <c r="A54" s="3" t="s">
        <v>45</v>
      </c>
      <c r="B54" s="4"/>
      <c r="C54" s="4" t="str">
        <f t="shared" si="0"/>
        <v/>
      </c>
      <c r="D54" s="11"/>
    </row>
    <row r="55" spans="1:8" x14ac:dyDescent="0.25">
      <c r="A55" s="3" t="s">
        <v>46</v>
      </c>
      <c r="B55" s="5">
        <f>9.75</f>
        <v>9.75</v>
      </c>
      <c r="C55" s="4">
        <f t="shared" si="0"/>
        <v>11.7</v>
      </c>
      <c r="D55" s="11"/>
    </row>
    <row r="56" spans="1:8" x14ac:dyDescent="0.25">
      <c r="A56" s="3" t="s">
        <v>47</v>
      </c>
      <c r="B56" s="6">
        <f>(B54)+(B55)</f>
        <v>9.75</v>
      </c>
      <c r="C56" s="4">
        <f t="shared" si="0"/>
        <v>11.7</v>
      </c>
      <c r="D56" s="12"/>
    </row>
    <row r="57" spans="1:8" x14ac:dyDescent="0.25">
      <c r="A57" s="3" t="s">
        <v>217</v>
      </c>
      <c r="B57" s="5"/>
      <c r="C57" s="4" t="str">
        <f t="shared" si="0"/>
        <v/>
      </c>
      <c r="D57" s="11">
        <v>8000</v>
      </c>
    </row>
    <row r="58" spans="1:8" x14ac:dyDescent="0.25">
      <c r="A58" s="3" t="s">
        <v>48</v>
      </c>
      <c r="B58" s="7"/>
      <c r="C58" s="4"/>
      <c r="D58" s="11"/>
    </row>
    <row r="59" spans="1:8" x14ac:dyDescent="0.25">
      <c r="A59" s="3" t="s">
        <v>49</v>
      </c>
      <c r="B59" s="4"/>
      <c r="C59" s="4" t="str">
        <f t="shared" si="0"/>
        <v/>
      </c>
      <c r="D59" s="11"/>
    </row>
    <row r="60" spans="1:8" x14ac:dyDescent="0.25">
      <c r="A60" s="3" t="s">
        <v>50</v>
      </c>
      <c r="B60" s="4"/>
      <c r="C60" s="4" t="str">
        <f t="shared" si="0"/>
        <v/>
      </c>
      <c r="D60" s="11"/>
    </row>
    <row r="61" spans="1:8" x14ac:dyDescent="0.25">
      <c r="A61" s="3" t="s">
        <v>51</v>
      </c>
      <c r="B61" s="5">
        <f>125.61</f>
        <v>125.61</v>
      </c>
      <c r="C61" s="4">
        <f t="shared" si="0"/>
        <v>150.732</v>
      </c>
      <c r="D61" s="11">
        <v>200</v>
      </c>
    </row>
    <row r="62" spans="1:8" x14ac:dyDescent="0.25">
      <c r="A62" s="3" t="s">
        <v>52</v>
      </c>
      <c r="B62" s="5">
        <f>692.28</f>
        <v>692.28</v>
      </c>
      <c r="C62" s="4">
        <f t="shared" si="0"/>
        <v>830.73599999999999</v>
      </c>
      <c r="D62" s="11">
        <v>900</v>
      </c>
    </row>
    <row r="63" spans="1:8" x14ac:dyDescent="0.25">
      <c r="A63" s="3" t="s">
        <v>53</v>
      </c>
      <c r="B63" s="5">
        <f>23</f>
        <v>23</v>
      </c>
      <c r="C63" s="4">
        <f t="shared" si="0"/>
        <v>27.599999999999998</v>
      </c>
      <c r="D63" s="11">
        <v>50</v>
      </c>
    </row>
    <row r="64" spans="1:8" x14ac:dyDescent="0.25">
      <c r="A64" s="3" t="s">
        <v>54</v>
      </c>
      <c r="B64" s="6">
        <f>(((B60)+(B61))+(B62))+(B63)</f>
        <v>840.89</v>
      </c>
      <c r="C64" s="4">
        <f t="shared" si="0"/>
        <v>1009.068</v>
      </c>
      <c r="D64" s="6">
        <f>(((D60)+(D61))+(D62))+(D63)</f>
        <v>1150</v>
      </c>
    </row>
    <row r="65" spans="1:4" x14ac:dyDescent="0.25">
      <c r="A65" s="3" t="s">
        <v>55</v>
      </c>
      <c r="B65" s="4"/>
      <c r="C65" s="4" t="str">
        <f t="shared" si="0"/>
        <v/>
      </c>
      <c r="D65" s="11"/>
    </row>
    <row r="66" spans="1:4" x14ac:dyDescent="0.25">
      <c r="A66" s="3" t="s">
        <v>56</v>
      </c>
      <c r="B66" s="5">
        <f>26864.25</f>
        <v>26864.25</v>
      </c>
      <c r="C66" s="4">
        <f t="shared" si="0"/>
        <v>32237.1</v>
      </c>
      <c r="D66" s="11"/>
    </row>
    <row r="67" spans="1:4" x14ac:dyDescent="0.25">
      <c r="A67" s="3" t="s">
        <v>57</v>
      </c>
      <c r="B67" s="5">
        <f>28505.46</f>
        <v>28505.46</v>
      </c>
      <c r="C67" s="4">
        <f t="shared" si="0"/>
        <v>34206.551999999996</v>
      </c>
      <c r="D67" s="11"/>
    </row>
    <row r="68" spans="1:4" x14ac:dyDescent="0.25">
      <c r="A68" s="3" t="s">
        <v>58</v>
      </c>
      <c r="B68" s="5">
        <f>26417.58</f>
        <v>26417.58</v>
      </c>
      <c r="C68" s="4">
        <f t="shared" si="0"/>
        <v>31701.096000000001</v>
      </c>
      <c r="D68" s="11"/>
    </row>
    <row r="69" spans="1:4" x14ac:dyDescent="0.25">
      <c r="A69" s="3" t="s">
        <v>59</v>
      </c>
      <c r="B69" s="5">
        <f>10273.29</f>
        <v>10273.290000000001</v>
      </c>
      <c r="C69" s="4">
        <f t="shared" si="0"/>
        <v>12327.948</v>
      </c>
      <c r="D69" s="11"/>
    </row>
    <row r="70" spans="1:4" x14ac:dyDescent="0.25">
      <c r="A70" s="3" t="s">
        <v>60</v>
      </c>
      <c r="B70" s="6">
        <f>((((B65)+(B66))+(B67))+(B68))+(B69)</f>
        <v>92060.580000000016</v>
      </c>
      <c r="C70" s="4">
        <f t="shared" si="0"/>
        <v>110472.69600000001</v>
      </c>
      <c r="D70" s="12">
        <v>110000</v>
      </c>
    </row>
    <row r="71" spans="1:4" x14ac:dyDescent="0.25">
      <c r="A71" s="3" t="s">
        <v>61</v>
      </c>
      <c r="B71" s="5">
        <f>1270.06</f>
        <v>1270.06</v>
      </c>
      <c r="C71" s="4">
        <f t="shared" si="0"/>
        <v>1524.0719999999999</v>
      </c>
      <c r="D71" s="11">
        <v>1500</v>
      </c>
    </row>
    <row r="72" spans="1:4" x14ac:dyDescent="0.25">
      <c r="A72" s="3" t="s">
        <v>62</v>
      </c>
      <c r="B72" s="6">
        <f>(((B59)+(B64))+(B70))+(B71)</f>
        <v>94171.530000000013</v>
      </c>
      <c r="C72" s="4">
        <f t="shared" si="0"/>
        <v>113005.83600000001</v>
      </c>
      <c r="D72" s="6">
        <f>(((D59)+(D64))+(D70))+(D71)</f>
        <v>112650</v>
      </c>
    </row>
    <row r="73" spans="1:4" x14ac:dyDescent="0.25">
      <c r="A73" s="3" t="s">
        <v>63</v>
      </c>
      <c r="B73" s="5">
        <f>830</f>
        <v>830</v>
      </c>
      <c r="C73" s="4">
        <f t="shared" si="0"/>
        <v>996</v>
      </c>
      <c r="D73" s="11">
        <v>1000</v>
      </c>
    </row>
    <row r="74" spans="1:4" x14ac:dyDescent="0.25">
      <c r="A74" s="3" t="s">
        <v>64</v>
      </c>
      <c r="B74" s="5">
        <f>4218.97</f>
        <v>4218.97</v>
      </c>
      <c r="C74" s="4">
        <f t="shared" si="0"/>
        <v>5062.7640000000001</v>
      </c>
      <c r="D74" s="11">
        <v>10000</v>
      </c>
    </row>
    <row r="75" spans="1:4" x14ac:dyDescent="0.25">
      <c r="A75" s="3" t="s">
        <v>65</v>
      </c>
      <c r="B75" s="4"/>
      <c r="C75" s="4" t="str">
        <f t="shared" si="0"/>
        <v/>
      </c>
      <c r="D75" s="11"/>
    </row>
    <row r="76" spans="1:4" x14ac:dyDescent="0.25">
      <c r="A76" s="3" t="s">
        <v>66</v>
      </c>
      <c r="B76" s="5">
        <f>40043.72</f>
        <v>40043.72</v>
      </c>
      <c r="C76" s="4">
        <f t="shared" ref="C76:C138" si="4">IF((B76*1.2)=0,"",B76*1.2)</f>
        <v>48052.464</v>
      </c>
      <c r="D76" s="11">
        <v>48000</v>
      </c>
    </row>
    <row r="77" spans="1:4" x14ac:dyDescent="0.25">
      <c r="A77" s="3" t="s">
        <v>67</v>
      </c>
      <c r="B77" s="4"/>
      <c r="C77" s="4" t="str">
        <f t="shared" si="4"/>
        <v/>
      </c>
      <c r="D77" s="11"/>
    </row>
    <row r="78" spans="1:4" x14ac:dyDescent="0.25">
      <c r="A78" s="3" t="s">
        <v>68</v>
      </c>
      <c r="B78" s="5">
        <f>7278</f>
        <v>7278</v>
      </c>
      <c r="C78" s="4">
        <f t="shared" si="4"/>
        <v>8733.6</v>
      </c>
      <c r="D78" s="11">
        <v>7500</v>
      </c>
    </row>
    <row r="79" spans="1:4" x14ac:dyDescent="0.25">
      <c r="A79" s="3" t="s">
        <v>69</v>
      </c>
      <c r="B79" s="5">
        <f>1520.53</f>
        <v>1520.53</v>
      </c>
      <c r="C79" s="4">
        <f t="shared" si="4"/>
        <v>1824.636</v>
      </c>
      <c r="D79" s="11">
        <v>1800</v>
      </c>
    </row>
    <row r="80" spans="1:4" x14ac:dyDescent="0.25">
      <c r="A80" s="3" t="s">
        <v>70</v>
      </c>
      <c r="B80" s="6">
        <f>((B77)+(B78))+(B79)</f>
        <v>8798.5300000000007</v>
      </c>
      <c r="C80" s="4">
        <f t="shared" si="4"/>
        <v>10558.236000000001</v>
      </c>
      <c r="D80" s="6">
        <f>((D77)+(D78))+(D79)</f>
        <v>9300</v>
      </c>
    </row>
    <row r="81" spans="1:4" x14ac:dyDescent="0.25">
      <c r="A81" s="3" t="s">
        <v>71</v>
      </c>
      <c r="B81" s="5">
        <f>2863.94</f>
        <v>2863.94</v>
      </c>
      <c r="C81" s="4">
        <f t="shared" si="4"/>
        <v>3436.7280000000001</v>
      </c>
      <c r="D81" s="11">
        <v>3000</v>
      </c>
    </row>
    <row r="82" spans="1:4" x14ac:dyDescent="0.25">
      <c r="A82" s="3" t="s">
        <v>72</v>
      </c>
      <c r="B82" s="5">
        <f>14613.15</f>
        <v>14613.15</v>
      </c>
      <c r="C82" s="4">
        <f t="shared" si="4"/>
        <v>17535.78</v>
      </c>
      <c r="D82" s="11">
        <v>55000</v>
      </c>
    </row>
    <row r="83" spans="1:4" x14ac:dyDescent="0.25">
      <c r="A83" s="3" t="s">
        <v>73</v>
      </c>
      <c r="B83" s="6">
        <f>((((B75)+(B76))+(B80))+(B81))+(B82)</f>
        <v>66319.34</v>
      </c>
      <c r="C83" s="4">
        <f t="shared" si="4"/>
        <v>79583.207999999999</v>
      </c>
      <c r="D83" s="6">
        <f>((((D75)+(D76))+(D80))+(D81))+(D82)</f>
        <v>115300</v>
      </c>
    </row>
    <row r="84" spans="1:4" x14ac:dyDescent="0.25">
      <c r="A84" s="3" t="s">
        <v>74</v>
      </c>
      <c r="B84" s="5">
        <f>14607</f>
        <v>14607</v>
      </c>
      <c r="C84" s="4">
        <f t="shared" si="4"/>
        <v>17528.399999999998</v>
      </c>
      <c r="D84" s="11">
        <f>1200*12</f>
        <v>14400</v>
      </c>
    </row>
    <row r="85" spans="1:4" x14ac:dyDescent="0.25">
      <c r="A85" s="3" t="s">
        <v>75</v>
      </c>
      <c r="B85" s="5">
        <f>22533.7</f>
        <v>22533.7</v>
      </c>
      <c r="C85" s="4">
        <f t="shared" si="4"/>
        <v>27040.44</v>
      </c>
      <c r="D85" s="11">
        <v>25000</v>
      </c>
    </row>
    <row r="86" spans="1:4" x14ac:dyDescent="0.25">
      <c r="A86" s="3" t="s">
        <v>76</v>
      </c>
      <c r="B86" s="6">
        <f>((((((B58)+(B72))+(B73))+(B74))+(B83))+(B84))+(B85)</f>
        <v>202680.54000000004</v>
      </c>
      <c r="C86" s="4">
        <f t="shared" si="4"/>
        <v>243216.64800000004</v>
      </c>
      <c r="D86" s="6">
        <f>((((((D58)+(D72))+(D73))+(D74))+(D83))+(D84))+(D85)</f>
        <v>278350</v>
      </c>
    </row>
    <row r="87" spans="1:4" x14ac:dyDescent="0.25">
      <c r="A87" s="3" t="s">
        <v>77</v>
      </c>
      <c r="B87" s="5">
        <f>157141.32</f>
        <v>157141.32</v>
      </c>
      <c r="C87" s="4">
        <f t="shared" si="4"/>
        <v>188569.584</v>
      </c>
      <c r="D87" s="11">
        <v>180000</v>
      </c>
    </row>
    <row r="88" spans="1:4" x14ac:dyDescent="0.25">
      <c r="A88" s="3" t="s">
        <v>78</v>
      </c>
      <c r="B88" s="6">
        <f>((((((B51)+(B52))+(B53))+(B56))+(B57))+(B86))+(B87)</f>
        <v>1966489.5000000002</v>
      </c>
      <c r="C88" s="4">
        <f t="shared" si="4"/>
        <v>2359787.4000000004</v>
      </c>
      <c r="D88" s="6">
        <f>((((((D51)+(D52))+(D53))+(D56))+(D57))+(D86))+(D87)</f>
        <v>1338948.6100000001</v>
      </c>
    </row>
    <row r="89" spans="1:4" x14ac:dyDescent="0.25">
      <c r="A89" s="3" t="s">
        <v>79</v>
      </c>
      <c r="B89" s="4"/>
      <c r="C89" s="4" t="str">
        <f t="shared" si="4"/>
        <v/>
      </c>
      <c r="D89" s="10"/>
    </row>
    <row r="90" spans="1:4" x14ac:dyDescent="0.25">
      <c r="A90" s="3" t="s">
        <v>80</v>
      </c>
      <c r="B90" s="4"/>
      <c r="C90" s="4" t="str">
        <f t="shared" si="4"/>
        <v/>
      </c>
      <c r="D90" s="11"/>
    </row>
    <row r="91" spans="1:4" x14ac:dyDescent="0.25">
      <c r="A91" s="3" t="s">
        <v>81</v>
      </c>
      <c r="B91" s="5">
        <f>24243.33</f>
        <v>24243.33</v>
      </c>
      <c r="C91" s="4">
        <f t="shared" si="4"/>
        <v>29091.996000000003</v>
      </c>
      <c r="D91" s="11">
        <v>15000</v>
      </c>
    </row>
    <row r="92" spans="1:4" x14ac:dyDescent="0.25">
      <c r="A92" s="3" t="s">
        <v>82</v>
      </c>
      <c r="B92" s="5">
        <f>30.25</f>
        <v>30.25</v>
      </c>
      <c r="C92" s="4">
        <f t="shared" si="4"/>
        <v>36.299999999999997</v>
      </c>
      <c r="D92" s="11">
        <v>0</v>
      </c>
    </row>
    <row r="93" spans="1:4" x14ac:dyDescent="0.25">
      <c r="A93" s="3" t="s">
        <v>83</v>
      </c>
      <c r="B93" s="5">
        <f>390.99</f>
        <v>390.99</v>
      </c>
      <c r="C93" s="4">
        <f t="shared" si="4"/>
        <v>469.18799999999999</v>
      </c>
      <c r="D93" s="11">
        <v>500</v>
      </c>
    </row>
    <row r="94" spans="1:4" x14ac:dyDescent="0.25">
      <c r="A94" s="3" t="s">
        <v>84</v>
      </c>
      <c r="B94" s="5">
        <f>38.69</f>
        <v>38.69</v>
      </c>
      <c r="C94" s="4">
        <f t="shared" si="4"/>
        <v>46.427999999999997</v>
      </c>
      <c r="D94" s="11">
        <v>0</v>
      </c>
    </row>
    <row r="95" spans="1:4" x14ac:dyDescent="0.25">
      <c r="A95" s="3" t="s">
        <v>85</v>
      </c>
      <c r="B95" s="5">
        <f>13666.66</f>
        <v>13666.66</v>
      </c>
      <c r="C95" s="4">
        <f t="shared" si="4"/>
        <v>16399.991999999998</v>
      </c>
      <c r="D95" s="11">
        <v>8000</v>
      </c>
    </row>
    <row r="96" spans="1:4" x14ac:dyDescent="0.25">
      <c r="A96" s="3" t="s">
        <v>86</v>
      </c>
      <c r="B96" s="5">
        <f>11.73</f>
        <v>11.73</v>
      </c>
      <c r="C96" s="4">
        <f t="shared" si="4"/>
        <v>14.076000000000001</v>
      </c>
      <c r="D96" s="11">
        <v>15</v>
      </c>
    </row>
    <row r="97" spans="1:4" x14ac:dyDescent="0.25">
      <c r="A97" s="3" t="s">
        <v>87</v>
      </c>
      <c r="B97" s="5">
        <f>7290</f>
        <v>7290</v>
      </c>
      <c r="C97" s="4">
        <f t="shared" si="4"/>
        <v>8748</v>
      </c>
      <c r="D97" s="11">
        <f>649*12</f>
        <v>7788</v>
      </c>
    </row>
    <row r="98" spans="1:4" x14ac:dyDescent="0.25">
      <c r="A98" s="3" t="s">
        <v>88</v>
      </c>
      <c r="B98" s="5">
        <f>4347</f>
        <v>4347</v>
      </c>
      <c r="C98" s="4">
        <f t="shared" si="4"/>
        <v>5216.3999999999996</v>
      </c>
      <c r="D98" s="11">
        <v>4347</v>
      </c>
    </row>
    <row r="99" spans="1:4" x14ac:dyDescent="0.25">
      <c r="A99" s="3" t="s">
        <v>89</v>
      </c>
      <c r="B99" s="5">
        <f>69.36</f>
        <v>69.36</v>
      </c>
      <c r="C99" s="4">
        <f t="shared" si="4"/>
        <v>83.231999999999999</v>
      </c>
      <c r="D99" s="11">
        <v>0</v>
      </c>
    </row>
    <row r="100" spans="1:4" x14ac:dyDescent="0.25">
      <c r="A100" s="3" t="s">
        <v>90</v>
      </c>
      <c r="B100" s="5">
        <f>11000</f>
        <v>11000</v>
      </c>
      <c r="C100" s="4">
        <f t="shared" si="4"/>
        <v>13200</v>
      </c>
      <c r="D100" s="11">
        <v>12000</v>
      </c>
    </row>
    <row r="101" spans="1:4" x14ac:dyDescent="0.25">
      <c r="A101" s="3" t="s">
        <v>91</v>
      </c>
      <c r="B101" s="5">
        <f>4240.96</f>
        <v>4240.96</v>
      </c>
      <c r="C101" s="4">
        <f t="shared" si="4"/>
        <v>5089.152</v>
      </c>
      <c r="D101" s="11">
        <v>5000</v>
      </c>
    </row>
    <row r="102" spans="1:4" x14ac:dyDescent="0.25">
      <c r="A102" s="3" t="s">
        <v>92</v>
      </c>
      <c r="B102" s="6">
        <f>(((((((((((B90)+(B91))+(B92))+(B93))+(B94))+(B95))+(B96))+(B97))+(B98))+(B99))+(B100))+(B101)</f>
        <v>65328.97</v>
      </c>
      <c r="C102" s="4">
        <f t="shared" si="4"/>
        <v>78394.763999999996</v>
      </c>
      <c r="D102" s="6">
        <f>(((((((((((D90)+(D91))+(D92))+(D93))+(D94))+(D95))+(D96))+(D97))+(D98))+(D99))+(D100))+(D101)</f>
        <v>52650</v>
      </c>
    </row>
    <row r="103" spans="1:4" x14ac:dyDescent="0.25">
      <c r="A103" s="3" t="s">
        <v>93</v>
      </c>
      <c r="B103" s="4"/>
      <c r="C103" s="4" t="str">
        <f t="shared" si="4"/>
        <v/>
      </c>
      <c r="D103" s="11"/>
    </row>
    <row r="104" spans="1:4" x14ac:dyDescent="0.25">
      <c r="A104" s="3" t="s">
        <v>94</v>
      </c>
      <c r="B104" s="5">
        <f>2239.69</f>
        <v>2239.69</v>
      </c>
      <c r="C104" s="4">
        <f t="shared" si="4"/>
        <v>2687.6280000000002</v>
      </c>
      <c r="D104" s="11">
        <v>2700</v>
      </c>
    </row>
    <row r="105" spans="1:4" x14ac:dyDescent="0.25">
      <c r="A105" s="3" t="s">
        <v>95</v>
      </c>
      <c r="B105" s="5">
        <f>3904.54</f>
        <v>3904.54</v>
      </c>
      <c r="C105" s="4">
        <f t="shared" si="4"/>
        <v>4685.4479999999994</v>
      </c>
      <c r="D105" s="11">
        <v>4700</v>
      </c>
    </row>
    <row r="106" spans="1:4" x14ac:dyDescent="0.25">
      <c r="A106" s="3" t="s">
        <v>96</v>
      </c>
      <c r="B106" s="5">
        <f>2680.34</f>
        <v>2680.34</v>
      </c>
      <c r="C106" s="4">
        <f t="shared" si="4"/>
        <v>3216.4079999999999</v>
      </c>
      <c r="D106" s="11">
        <v>5000</v>
      </c>
    </row>
    <row r="107" spans="1:4" x14ac:dyDescent="0.25">
      <c r="A107" s="3" t="s">
        <v>97</v>
      </c>
      <c r="B107" s="5">
        <f>24.99</f>
        <v>24.99</v>
      </c>
      <c r="C107" s="4">
        <f t="shared" si="4"/>
        <v>29.987999999999996</v>
      </c>
      <c r="D107" s="11">
        <v>300</v>
      </c>
    </row>
    <row r="108" spans="1:4" x14ac:dyDescent="0.25">
      <c r="A108" s="3" t="s">
        <v>98</v>
      </c>
      <c r="B108" s="6">
        <f>((((B103)+(B104))+(B105))+(B106))+(B107)</f>
        <v>8849.56</v>
      </c>
      <c r="C108" s="4">
        <f t="shared" si="4"/>
        <v>10619.472</v>
      </c>
      <c r="D108" s="6">
        <f>((((D103)+(D104))+(D105))+(D106))+(D107)</f>
        <v>12700</v>
      </c>
    </row>
    <row r="109" spans="1:4" x14ac:dyDescent="0.25">
      <c r="A109" s="3" t="s">
        <v>99</v>
      </c>
      <c r="B109" s="4"/>
      <c r="C109" s="4" t="str">
        <f t="shared" si="4"/>
        <v/>
      </c>
      <c r="D109" s="11"/>
    </row>
    <row r="110" spans="1:4" x14ac:dyDescent="0.25">
      <c r="A110" s="3" t="s">
        <v>100</v>
      </c>
      <c r="B110" s="5">
        <f>2333.25</f>
        <v>2333.25</v>
      </c>
      <c r="C110" s="4">
        <f t="shared" si="4"/>
        <v>2799.9</v>
      </c>
      <c r="D110" s="11">
        <v>0</v>
      </c>
    </row>
    <row r="111" spans="1:4" x14ac:dyDescent="0.25">
      <c r="A111" s="3" t="s">
        <v>101</v>
      </c>
      <c r="B111" s="6">
        <f>(B109)+(B110)</f>
        <v>2333.25</v>
      </c>
      <c r="C111" s="4">
        <f t="shared" si="4"/>
        <v>2799.9</v>
      </c>
      <c r="D111" s="12">
        <v>0</v>
      </c>
    </row>
    <row r="112" spans="1:4" x14ac:dyDescent="0.25">
      <c r="A112" s="3" t="s">
        <v>102</v>
      </c>
      <c r="B112" s="4"/>
      <c r="C112" s="4" t="str">
        <f t="shared" si="4"/>
        <v/>
      </c>
      <c r="D112" s="11"/>
    </row>
    <row r="113" spans="1:14" x14ac:dyDescent="0.25">
      <c r="A113" s="3" t="s">
        <v>103</v>
      </c>
      <c r="B113" s="5">
        <f>1766.16</f>
        <v>1766.16</v>
      </c>
      <c r="C113" s="4">
        <f t="shared" si="4"/>
        <v>2119.3919999999998</v>
      </c>
      <c r="D113" s="11">
        <v>2000</v>
      </c>
    </row>
    <row r="114" spans="1:14" x14ac:dyDescent="0.25">
      <c r="A114" s="3" t="s">
        <v>104</v>
      </c>
      <c r="B114" s="5">
        <f>367</f>
        <v>367</v>
      </c>
      <c r="C114" s="4">
        <f t="shared" si="4"/>
        <v>440.4</v>
      </c>
      <c r="D114" s="11">
        <v>500</v>
      </c>
    </row>
    <row r="115" spans="1:14" x14ac:dyDescent="0.25">
      <c r="A115" s="3" t="s">
        <v>105</v>
      </c>
      <c r="B115" s="5">
        <f>290.86</f>
        <v>290.86</v>
      </c>
      <c r="C115" s="4">
        <f t="shared" si="4"/>
        <v>349.03199999999998</v>
      </c>
      <c r="D115" s="11">
        <v>500</v>
      </c>
    </row>
    <row r="116" spans="1:14" x14ac:dyDescent="0.25">
      <c r="A116" s="3" t="s">
        <v>106</v>
      </c>
      <c r="B116" s="5">
        <f>577.36</f>
        <v>577.36</v>
      </c>
      <c r="C116" s="4">
        <f t="shared" si="4"/>
        <v>692.83199999999999</v>
      </c>
      <c r="D116" s="11">
        <v>1200</v>
      </c>
    </row>
    <row r="117" spans="1:14" x14ac:dyDescent="0.25">
      <c r="A117" s="3" t="s">
        <v>107</v>
      </c>
      <c r="B117" s="6">
        <f>((((B112)+(B113))+(B114))+(B115))+(B116)</f>
        <v>3001.38</v>
      </c>
      <c r="C117" s="4">
        <f t="shared" si="4"/>
        <v>3601.6559999999999</v>
      </c>
      <c r="D117" s="6">
        <f>((((D112)+(D113))+(D114))+(D115))+(D116)</f>
        <v>4200</v>
      </c>
    </row>
    <row r="118" spans="1:14" x14ac:dyDescent="0.25">
      <c r="A118" s="3" t="s">
        <v>108</v>
      </c>
      <c r="B118" s="4"/>
      <c r="C118" s="4" t="str">
        <f t="shared" si="4"/>
        <v/>
      </c>
      <c r="D118" s="11"/>
    </row>
    <row r="119" spans="1:14" x14ac:dyDescent="0.25">
      <c r="A119" s="3" t="s">
        <v>109</v>
      </c>
      <c r="B119" s="5">
        <f>708.51</f>
        <v>708.51</v>
      </c>
      <c r="C119" s="4">
        <f t="shared" si="4"/>
        <v>850.21199999999999</v>
      </c>
      <c r="D119" s="11">
        <v>0</v>
      </c>
    </row>
    <row r="120" spans="1:14" x14ac:dyDescent="0.25">
      <c r="A120" s="3" t="s">
        <v>110</v>
      </c>
      <c r="B120" s="5">
        <f>4543.11</f>
        <v>4543.1099999999997</v>
      </c>
      <c r="C120" s="4">
        <f t="shared" si="4"/>
        <v>5451.7319999999991</v>
      </c>
      <c r="D120" s="11">
        <v>1000</v>
      </c>
    </row>
    <row r="121" spans="1:14" x14ac:dyDescent="0.25">
      <c r="A121" s="3" t="s">
        <v>111</v>
      </c>
      <c r="B121" s="6">
        <f>((B118)+(B119))+(B120)</f>
        <v>5251.62</v>
      </c>
      <c r="C121" s="4">
        <f t="shared" si="4"/>
        <v>6301.9439999999995</v>
      </c>
      <c r="D121" s="6">
        <f>((D118)+(D119))+(D120)</f>
        <v>1000</v>
      </c>
    </row>
    <row r="122" spans="1:14" x14ac:dyDescent="0.25">
      <c r="A122" s="3" t="s">
        <v>112</v>
      </c>
      <c r="B122" s="5">
        <f>5350.18</f>
        <v>5350.18</v>
      </c>
      <c r="C122" s="4">
        <f t="shared" si="4"/>
        <v>6420.2160000000003</v>
      </c>
      <c r="D122" s="11">
        <v>6000</v>
      </c>
    </row>
    <row r="123" spans="1:14" x14ac:dyDescent="0.25">
      <c r="A123" s="3" t="s">
        <v>113</v>
      </c>
      <c r="B123" s="4"/>
      <c r="C123" s="4" t="str">
        <f t="shared" si="4"/>
        <v/>
      </c>
      <c r="D123" s="11"/>
    </row>
    <row r="124" spans="1:14" x14ac:dyDescent="0.25">
      <c r="A124" s="3" t="s">
        <v>114</v>
      </c>
      <c r="B124" s="5">
        <f>675.86</f>
        <v>675.86</v>
      </c>
      <c r="C124" s="4">
        <f t="shared" si="4"/>
        <v>811.03200000000004</v>
      </c>
      <c r="D124" s="11">
        <v>800</v>
      </c>
    </row>
    <row r="125" spans="1:14" x14ac:dyDescent="0.25">
      <c r="A125" s="3" t="s">
        <v>115</v>
      </c>
      <c r="B125" s="5">
        <f>9930</f>
        <v>9930</v>
      </c>
      <c r="C125" s="4">
        <f t="shared" si="4"/>
        <v>11916</v>
      </c>
      <c r="D125" s="11">
        <v>11000</v>
      </c>
      <c r="N125" s="14"/>
    </row>
    <row r="126" spans="1:14" x14ac:dyDescent="0.25">
      <c r="A126" s="3" t="s">
        <v>116</v>
      </c>
      <c r="B126" s="5">
        <f>180</f>
        <v>180</v>
      </c>
      <c r="C126" s="4">
        <f t="shared" si="4"/>
        <v>216</v>
      </c>
      <c r="D126" s="11">
        <v>0</v>
      </c>
      <c r="N126" s="14"/>
    </row>
    <row r="127" spans="1:14" x14ac:dyDescent="0.25">
      <c r="A127" s="3" t="s">
        <v>117</v>
      </c>
      <c r="B127" s="5">
        <f>2239.11</f>
        <v>2239.11</v>
      </c>
      <c r="C127" s="4">
        <f t="shared" si="4"/>
        <v>2686.9320000000002</v>
      </c>
      <c r="D127" s="11">
        <v>2500</v>
      </c>
    </row>
    <row r="128" spans="1:14" x14ac:dyDescent="0.25">
      <c r="A128" s="3" t="s">
        <v>118</v>
      </c>
      <c r="B128" s="6">
        <f>(((B124)+(B125))+(B126))+(B127)</f>
        <v>13024.970000000001</v>
      </c>
      <c r="C128" s="4">
        <f t="shared" si="4"/>
        <v>15629.964</v>
      </c>
      <c r="D128" s="6">
        <f>(((D124)+(D125))+(D126))+(D127)</f>
        <v>14300</v>
      </c>
    </row>
    <row r="129" spans="1:14" x14ac:dyDescent="0.25">
      <c r="A129" s="3" t="s">
        <v>119</v>
      </c>
      <c r="B129" s="5">
        <f>35138.8</f>
        <v>35138.800000000003</v>
      </c>
      <c r="C129" s="4">
        <f t="shared" si="4"/>
        <v>42166.560000000005</v>
      </c>
      <c r="D129" s="11">
        <v>42000</v>
      </c>
      <c r="N129" s="14"/>
    </row>
    <row r="130" spans="1:14" x14ac:dyDescent="0.25">
      <c r="A130" s="3" t="s">
        <v>120</v>
      </c>
      <c r="B130" s="5">
        <f>992.25</f>
        <v>992.25</v>
      </c>
      <c r="C130" s="4">
        <f t="shared" si="4"/>
        <v>1190.7</v>
      </c>
      <c r="D130" s="11">
        <v>1000</v>
      </c>
    </row>
    <row r="131" spans="1:14" x14ac:dyDescent="0.25">
      <c r="A131" s="3" t="s">
        <v>121</v>
      </c>
      <c r="B131" s="6">
        <f>(((B123)+(B128))+(B129))+(B130)</f>
        <v>49156.020000000004</v>
      </c>
      <c r="C131" s="4">
        <f t="shared" si="4"/>
        <v>58987.224000000002</v>
      </c>
      <c r="D131" s="6">
        <f>(((D123)+(D128))+(D129))+(D130)</f>
        <v>57300</v>
      </c>
    </row>
    <row r="132" spans="1:14" x14ac:dyDescent="0.25">
      <c r="A132" s="3" t="s">
        <v>122</v>
      </c>
      <c r="B132" s="4"/>
      <c r="C132" s="4" t="str">
        <f t="shared" si="4"/>
        <v/>
      </c>
      <c r="D132" s="11"/>
    </row>
    <row r="133" spans="1:14" x14ac:dyDescent="0.25">
      <c r="A133" s="3" t="s">
        <v>123</v>
      </c>
      <c r="B133" s="5">
        <f>1385.62</f>
        <v>1385.62</v>
      </c>
      <c r="C133" s="4">
        <f t="shared" si="4"/>
        <v>1662.7439999999999</v>
      </c>
      <c r="D133" s="11">
        <v>1500</v>
      </c>
    </row>
    <row r="134" spans="1:14" x14ac:dyDescent="0.25">
      <c r="A134" s="3" t="s">
        <v>124</v>
      </c>
      <c r="B134" s="5">
        <f>3700</f>
        <v>3700</v>
      </c>
      <c r="C134" s="4">
        <f t="shared" si="4"/>
        <v>4440</v>
      </c>
      <c r="D134" s="11">
        <v>5000</v>
      </c>
    </row>
    <row r="135" spans="1:14" x14ac:dyDescent="0.25">
      <c r="A135" s="3" t="s">
        <v>125</v>
      </c>
      <c r="B135" s="5">
        <f>1990.4</f>
        <v>1990.4</v>
      </c>
      <c r="C135" s="4">
        <f t="shared" si="4"/>
        <v>2388.48</v>
      </c>
      <c r="D135" s="11">
        <v>2300</v>
      </c>
    </row>
    <row r="136" spans="1:14" x14ac:dyDescent="0.25">
      <c r="A136" s="3" t="s">
        <v>126</v>
      </c>
      <c r="B136" s="5">
        <f>6876.73</f>
        <v>6876.73</v>
      </c>
      <c r="C136" s="4">
        <f t="shared" si="4"/>
        <v>8252.0759999999991</v>
      </c>
      <c r="D136" s="11">
        <v>8200</v>
      </c>
    </row>
    <row r="137" spans="1:14" x14ac:dyDescent="0.25">
      <c r="A137" s="3" t="s">
        <v>127</v>
      </c>
      <c r="B137" s="5">
        <f>955.81</f>
        <v>955.81</v>
      </c>
      <c r="C137" s="4">
        <f t="shared" si="4"/>
        <v>1146.972</v>
      </c>
      <c r="D137" s="11">
        <v>1200</v>
      </c>
    </row>
    <row r="138" spans="1:14" x14ac:dyDescent="0.25">
      <c r="A138" s="3" t="s">
        <v>128</v>
      </c>
      <c r="B138" s="5">
        <f>9094.48</f>
        <v>9094.48</v>
      </c>
      <c r="C138" s="4">
        <f t="shared" si="4"/>
        <v>10913.375999999998</v>
      </c>
      <c r="D138" s="11">
        <v>11500</v>
      </c>
    </row>
    <row r="139" spans="1:14" x14ac:dyDescent="0.25">
      <c r="A139" s="3" t="s">
        <v>129</v>
      </c>
      <c r="B139" s="6">
        <f>((((((B132)+(B133))+(B134))+(B135))+(B136))+(B137))+(B138)</f>
        <v>24003.040000000001</v>
      </c>
      <c r="C139" s="4">
        <f t="shared" ref="C139:C203" si="5">IF((B139*1.2)=0,"",B139*1.2)</f>
        <v>28803.648000000001</v>
      </c>
      <c r="D139" s="6">
        <f>((((((D132)+(D133))+(D134))+(D135))+(D136))+(D137))+(D138)</f>
        <v>29700</v>
      </c>
    </row>
    <row r="140" spans="1:14" x14ac:dyDescent="0.25">
      <c r="A140" s="3" t="s">
        <v>130</v>
      </c>
      <c r="B140" s="4"/>
      <c r="C140" s="4" t="str">
        <f t="shared" si="5"/>
        <v/>
      </c>
      <c r="D140" s="11"/>
    </row>
    <row r="141" spans="1:14" x14ac:dyDescent="0.25">
      <c r="A141" s="3" t="s">
        <v>131</v>
      </c>
      <c r="B141" s="5">
        <f>824</f>
        <v>824</v>
      </c>
      <c r="C141" s="4">
        <f t="shared" si="5"/>
        <v>988.8</v>
      </c>
      <c r="D141" s="11">
        <v>900</v>
      </c>
    </row>
    <row r="142" spans="1:14" x14ac:dyDescent="0.25">
      <c r="A142" s="3" t="s">
        <v>132</v>
      </c>
      <c r="B142" s="5">
        <f>55</f>
        <v>55</v>
      </c>
      <c r="C142" s="4">
        <f t="shared" si="5"/>
        <v>66</v>
      </c>
      <c r="D142" s="11">
        <v>100</v>
      </c>
    </row>
    <row r="143" spans="1:14" x14ac:dyDescent="0.25">
      <c r="A143" s="3" t="s">
        <v>133</v>
      </c>
      <c r="B143" s="5">
        <f>5376.39</f>
        <v>5376.39</v>
      </c>
      <c r="C143" s="4">
        <f t="shared" si="5"/>
        <v>6451.6680000000006</v>
      </c>
      <c r="D143" s="11">
        <v>3000</v>
      </c>
    </row>
    <row r="144" spans="1:14" x14ac:dyDescent="0.25">
      <c r="A144" s="3" t="s">
        <v>134</v>
      </c>
      <c r="B144" s="5">
        <f>384.26</f>
        <v>384.26</v>
      </c>
      <c r="C144" s="4">
        <f t="shared" si="5"/>
        <v>461.11199999999997</v>
      </c>
      <c r="D144" s="11">
        <v>500</v>
      </c>
    </row>
    <row r="145" spans="1:12" x14ac:dyDescent="0.25">
      <c r="A145" s="3" t="s">
        <v>135</v>
      </c>
      <c r="B145" s="5">
        <f>4996.73</f>
        <v>4996.7299999999996</v>
      </c>
      <c r="C145" s="4">
        <f t="shared" si="5"/>
        <v>5996.0759999999991</v>
      </c>
      <c r="D145" s="11">
        <v>5000</v>
      </c>
    </row>
    <row r="146" spans="1:12" x14ac:dyDescent="0.25">
      <c r="A146" s="3" t="s">
        <v>136</v>
      </c>
      <c r="B146" s="5">
        <f>1823.21</f>
        <v>1823.21</v>
      </c>
      <c r="C146" s="4">
        <f t="shared" si="5"/>
        <v>2187.8519999999999</v>
      </c>
      <c r="D146" s="11">
        <v>2000</v>
      </c>
    </row>
    <row r="147" spans="1:12" x14ac:dyDescent="0.25">
      <c r="A147" s="3" t="s">
        <v>137</v>
      </c>
      <c r="B147" s="5">
        <f>360</f>
        <v>360</v>
      </c>
      <c r="C147" s="4">
        <f t="shared" si="5"/>
        <v>432</v>
      </c>
      <c r="D147" s="11">
        <v>400</v>
      </c>
    </row>
    <row r="148" spans="1:12" x14ac:dyDescent="0.25">
      <c r="A148" s="3" t="s">
        <v>138</v>
      </c>
      <c r="B148" s="5">
        <f>813.7</f>
        <v>813.7</v>
      </c>
      <c r="C148" s="4">
        <f t="shared" si="5"/>
        <v>976.44</v>
      </c>
      <c r="D148" s="11">
        <v>1200</v>
      </c>
    </row>
    <row r="149" spans="1:12" x14ac:dyDescent="0.25">
      <c r="A149" s="3" t="s">
        <v>139</v>
      </c>
      <c r="B149" s="5">
        <f>487.77</f>
        <v>487.77</v>
      </c>
      <c r="C149" s="4">
        <f t="shared" si="5"/>
        <v>585.32399999999996</v>
      </c>
      <c r="D149" s="11">
        <v>600</v>
      </c>
      <c r="H149" t="s">
        <v>226</v>
      </c>
      <c r="J149">
        <f>858*1.1</f>
        <v>943.80000000000007</v>
      </c>
    </row>
    <row r="150" spans="1:12" x14ac:dyDescent="0.25">
      <c r="A150" s="3" t="s">
        <v>140</v>
      </c>
      <c r="B150" s="6">
        <f>(((((((((B140)+(B141))+(B142))+(B143))+(B144))+(B145))+(B146))+(B147))+(B148))+(B149)</f>
        <v>15121.060000000001</v>
      </c>
      <c r="C150" s="4">
        <f t="shared" si="5"/>
        <v>18145.272000000001</v>
      </c>
      <c r="D150" s="6">
        <f>(((((((((D140)+(D141))+(D142))+(D143))+(D144))+(D145))+(D146))+(D147))+(D148))+(D149)</f>
        <v>13700</v>
      </c>
      <c r="H150" t="s">
        <v>228</v>
      </c>
      <c r="J150">
        <f>J149*0.4</f>
        <v>377.52000000000004</v>
      </c>
      <c r="K150">
        <f>J149-J150</f>
        <v>566.28</v>
      </c>
      <c r="L150" t="s">
        <v>229</v>
      </c>
    </row>
    <row r="151" spans="1:12" x14ac:dyDescent="0.25">
      <c r="A151" s="3" t="s">
        <v>141</v>
      </c>
      <c r="B151" s="4"/>
      <c r="C151" s="4" t="str">
        <f t="shared" si="5"/>
        <v/>
      </c>
      <c r="D151" s="11"/>
      <c r="H151" t="s">
        <v>227</v>
      </c>
      <c r="J151">
        <v>7</v>
      </c>
    </row>
    <row r="152" spans="1:12" x14ac:dyDescent="0.25">
      <c r="A152" s="3" t="s">
        <v>142</v>
      </c>
      <c r="B152" s="4"/>
      <c r="C152" s="4" t="str">
        <f t="shared" si="5"/>
        <v/>
      </c>
      <c r="D152" s="11"/>
    </row>
    <row r="153" spans="1:12" x14ac:dyDescent="0.25">
      <c r="A153" s="3" t="s">
        <v>143</v>
      </c>
      <c r="B153" s="5">
        <f>1273.66</f>
        <v>1273.6600000000001</v>
      </c>
      <c r="C153" s="4">
        <f t="shared" si="5"/>
        <v>1528.3920000000001</v>
      </c>
      <c r="D153" s="11">
        <v>0</v>
      </c>
    </row>
    <row r="154" spans="1:12" x14ac:dyDescent="0.25">
      <c r="A154" s="3" t="s">
        <v>144</v>
      </c>
      <c r="B154" s="5">
        <f>49432.2</f>
        <v>49432.2</v>
      </c>
      <c r="C154" s="4">
        <f t="shared" si="5"/>
        <v>59318.639999999992</v>
      </c>
      <c r="D154" s="11">
        <v>48000</v>
      </c>
      <c r="H154">
        <f>(J149-J150)*J151*12</f>
        <v>47567.520000000004</v>
      </c>
    </row>
    <row r="155" spans="1:12" x14ac:dyDescent="0.25">
      <c r="A155" s="3" t="s">
        <v>145</v>
      </c>
      <c r="B155" s="5">
        <f>57345.11</f>
        <v>57345.11</v>
      </c>
      <c r="C155" s="4">
        <f t="shared" si="5"/>
        <v>68814.131999999998</v>
      </c>
      <c r="D155" s="11">
        <f>D158*11.7%</f>
        <v>95472</v>
      </c>
      <c r="E155" t="s">
        <v>230</v>
      </c>
    </row>
    <row r="156" spans="1:12" x14ac:dyDescent="0.25">
      <c r="A156" s="3" t="s">
        <v>146</v>
      </c>
      <c r="B156" s="5">
        <f>310.46</f>
        <v>310.45999999999998</v>
      </c>
      <c r="C156" s="4">
        <f t="shared" si="5"/>
        <v>372.55199999999996</v>
      </c>
      <c r="D156" s="11"/>
    </row>
    <row r="157" spans="1:12" x14ac:dyDescent="0.25">
      <c r="A157" s="3" t="s">
        <v>147</v>
      </c>
      <c r="B157" s="6">
        <f>((((B152)+(B153))+(B154))+(B155))+(B156)</f>
        <v>108361.43000000001</v>
      </c>
      <c r="C157" s="4">
        <f t="shared" si="5"/>
        <v>130033.716</v>
      </c>
      <c r="D157" s="12">
        <f>D155+D154</f>
        <v>143472</v>
      </c>
    </row>
    <row r="158" spans="1:12" x14ac:dyDescent="0.25">
      <c r="A158" s="3" t="s">
        <v>148</v>
      </c>
      <c r="B158" s="5">
        <f>601275.5</f>
        <v>601275.5</v>
      </c>
      <c r="C158" s="4">
        <f t="shared" si="5"/>
        <v>721530.6</v>
      </c>
      <c r="D158" s="11">
        <v>816000</v>
      </c>
    </row>
    <row r="159" spans="1:12" x14ac:dyDescent="0.25">
      <c r="A159" s="3" t="s">
        <v>149</v>
      </c>
      <c r="B159" s="5">
        <f>46841.84</f>
        <v>46841.84</v>
      </c>
      <c r="C159" s="4">
        <f t="shared" si="5"/>
        <v>56210.207999999991</v>
      </c>
      <c r="D159" s="11">
        <v>60000</v>
      </c>
    </row>
    <row r="160" spans="1:12" x14ac:dyDescent="0.25">
      <c r="A160" s="3" t="s">
        <v>150</v>
      </c>
      <c r="B160" s="6">
        <f>(((B151)+(B157))+(B158))+(B159)</f>
        <v>756478.77</v>
      </c>
      <c r="C160" s="4">
        <f t="shared" si="5"/>
        <v>907774.52399999998</v>
      </c>
      <c r="D160" s="6">
        <f>(((D151)+(D157))+(D158))+(D159)</f>
        <v>1019472</v>
      </c>
    </row>
    <row r="161" spans="1:4" x14ac:dyDescent="0.25">
      <c r="A161" s="3" t="s">
        <v>151</v>
      </c>
      <c r="B161" s="4"/>
      <c r="C161" s="4" t="str">
        <f t="shared" si="5"/>
        <v/>
      </c>
      <c r="D161" s="11"/>
    </row>
    <row r="162" spans="1:4" x14ac:dyDescent="0.25">
      <c r="A162" s="3" t="s">
        <v>152</v>
      </c>
      <c r="B162" s="5">
        <f>67.04</f>
        <v>67.040000000000006</v>
      </c>
      <c r="C162" s="4">
        <f t="shared" si="5"/>
        <v>80.448000000000008</v>
      </c>
      <c r="D162" s="11">
        <v>100</v>
      </c>
    </row>
    <row r="163" spans="1:4" x14ac:dyDescent="0.25">
      <c r="A163" s="3" t="s">
        <v>153</v>
      </c>
      <c r="B163" s="4"/>
      <c r="C163" s="4" t="str">
        <f t="shared" si="5"/>
        <v/>
      </c>
      <c r="D163" s="11"/>
    </row>
    <row r="164" spans="1:4" x14ac:dyDescent="0.25">
      <c r="A164" s="3" t="s">
        <v>154</v>
      </c>
      <c r="B164" s="5">
        <f>1273</f>
        <v>1273</v>
      </c>
      <c r="C164" s="4">
        <f t="shared" si="5"/>
        <v>1527.6</v>
      </c>
      <c r="D164" s="11">
        <v>500</v>
      </c>
    </row>
    <row r="165" spans="1:4" x14ac:dyDescent="0.25">
      <c r="A165" s="3" t="s">
        <v>155</v>
      </c>
      <c r="B165" s="5">
        <f>1805.87</f>
        <v>1805.87</v>
      </c>
      <c r="C165" s="4">
        <f t="shared" si="5"/>
        <v>2167.0439999999999</v>
      </c>
      <c r="D165" s="11">
        <v>0</v>
      </c>
    </row>
    <row r="166" spans="1:4" x14ac:dyDescent="0.25">
      <c r="A166" s="3" t="s">
        <v>156</v>
      </c>
      <c r="B166" s="6">
        <f>((B163)+(B164))+(B165)</f>
        <v>3078.87</v>
      </c>
      <c r="C166" s="4">
        <f t="shared" si="5"/>
        <v>3694.6439999999998</v>
      </c>
      <c r="D166" s="6">
        <f>((D163)+(D164))+(D165)</f>
        <v>500</v>
      </c>
    </row>
    <row r="167" spans="1:4" x14ac:dyDescent="0.25">
      <c r="A167" s="3" t="s">
        <v>157</v>
      </c>
      <c r="B167" s="5">
        <f>76.72</f>
        <v>76.72</v>
      </c>
      <c r="C167" s="4">
        <f t="shared" si="5"/>
        <v>92.063999999999993</v>
      </c>
      <c r="D167" s="11">
        <v>100</v>
      </c>
    </row>
    <row r="168" spans="1:4" x14ac:dyDescent="0.25">
      <c r="A168" s="3" t="s">
        <v>158</v>
      </c>
      <c r="B168" s="4"/>
      <c r="C168" s="4" t="str">
        <f t="shared" si="5"/>
        <v/>
      </c>
      <c r="D168" s="11"/>
    </row>
    <row r="169" spans="1:4" x14ac:dyDescent="0.25">
      <c r="A169" s="3" t="s">
        <v>159</v>
      </c>
      <c r="B169" s="5">
        <f>409821.05</f>
        <v>409821.05</v>
      </c>
      <c r="C169" s="4">
        <f t="shared" si="5"/>
        <v>491785.25999999995</v>
      </c>
      <c r="D169" s="11">
        <v>0</v>
      </c>
    </row>
    <row r="170" spans="1:4" x14ac:dyDescent="0.25">
      <c r="A170" s="3" t="s">
        <v>160</v>
      </c>
      <c r="B170" s="6">
        <f>(B168)+(B169)</f>
        <v>409821.05</v>
      </c>
      <c r="C170" s="4">
        <f t="shared" si="5"/>
        <v>491785.25999999995</v>
      </c>
      <c r="D170" s="12">
        <v>0</v>
      </c>
    </row>
    <row r="171" spans="1:4" x14ac:dyDescent="0.25">
      <c r="A171" s="3" t="s">
        <v>221</v>
      </c>
      <c r="B171" s="15">
        <v>6000</v>
      </c>
      <c r="C171" s="4">
        <v>6000</v>
      </c>
      <c r="D171" s="16">
        <v>12000</v>
      </c>
    </row>
    <row r="172" spans="1:4" x14ac:dyDescent="0.25">
      <c r="A172" s="3" t="s">
        <v>161</v>
      </c>
      <c r="B172" s="7">
        <f>-95</f>
        <v>-95</v>
      </c>
      <c r="C172" s="4">
        <f t="shared" si="5"/>
        <v>-114</v>
      </c>
      <c r="D172" s="11">
        <v>0</v>
      </c>
    </row>
    <row r="173" spans="1:4" x14ac:dyDescent="0.25">
      <c r="A173" s="3" t="s">
        <v>162</v>
      </c>
      <c r="B173" s="5">
        <f>47.94</f>
        <v>47.94</v>
      </c>
      <c r="C173" s="4">
        <f t="shared" si="5"/>
        <v>57.527999999999999</v>
      </c>
      <c r="D173" s="11">
        <v>0</v>
      </c>
    </row>
    <row r="174" spans="1:4" x14ac:dyDescent="0.25">
      <c r="A174" s="3" t="s">
        <v>163</v>
      </c>
      <c r="B174" s="5">
        <f>3204.32</f>
        <v>3204.32</v>
      </c>
      <c r="C174" s="4">
        <f t="shared" si="5"/>
        <v>3845.1840000000002</v>
      </c>
      <c r="D174" s="11">
        <v>4200</v>
      </c>
    </row>
    <row r="175" spans="1:4" x14ac:dyDescent="0.25">
      <c r="A175" s="3" t="s">
        <v>164</v>
      </c>
      <c r="B175" s="5">
        <f>51</f>
        <v>51</v>
      </c>
      <c r="C175" s="4">
        <f t="shared" si="5"/>
        <v>61.199999999999996</v>
      </c>
      <c r="D175" s="11">
        <v>51</v>
      </c>
    </row>
    <row r="176" spans="1:4" x14ac:dyDescent="0.25">
      <c r="A176" s="3" t="s">
        <v>165</v>
      </c>
      <c r="B176" s="6">
        <f>((((((((B161)+(B162))+(B166))+(B167))+(B170))+(B172))+(B173))+(B174))+(B175)+B171</f>
        <v>422251.94</v>
      </c>
      <c r="C176" s="4">
        <f t="shared" si="5"/>
        <v>506702.32799999998</v>
      </c>
      <c r="D176" s="6">
        <f>((((((((D161)+(D162))+(D166))+(D167))+(D170))+(D172))+(D173))+(D174))+(D175)+D171</f>
        <v>16951</v>
      </c>
    </row>
    <row r="177" spans="1:4" x14ac:dyDescent="0.25">
      <c r="A177" s="3" t="s">
        <v>166</v>
      </c>
      <c r="B177" s="4"/>
      <c r="C177" s="4" t="str">
        <f t="shared" si="5"/>
        <v/>
      </c>
      <c r="D177" s="11"/>
    </row>
    <row r="178" spans="1:4" x14ac:dyDescent="0.25">
      <c r="A178" s="3" t="s">
        <v>167</v>
      </c>
      <c r="B178" s="5">
        <f>5487.74</f>
        <v>5487.74</v>
      </c>
      <c r="C178" s="4">
        <f t="shared" si="5"/>
        <v>6585.2879999999996</v>
      </c>
      <c r="D178" s="11">
        <v>5000</v>
      </c>
    </row>
    <row r="179" spans="1:4" x14ac:dyDescent="0.25">
      <c r="A179" s="3" t="s">
        <v>168</v>
      </c>
      <c r="B179" s="5">
        <f>2673.5</f>
        <v>2673.5</v>
      </c>
      <c r="C179" s="4">
        <f t="shared" si="5"/>
        <v>3208.2</v>
      </c>
      <c r="D179" s="11">
        <v>5000</v>
      </c>
    </row>
    <row r="180" spans="1:4" x14ac:dyDescent="0.25">
      <c r="A180" s="3" t="s">
        <v>169</v>
      </c>
      <c r="B180" s="5">
        <f>586.95</f>
        <v>586.95000000000005</v>
      </c>
      <c r="C180" s="4">
        <f t="shared" si="5"/>
        <v>704.34</v>
      </c>
      <c r="D180" s="11">
        <v>1000</v>
      </c>
    </row>
    <row r="181" spans="1:4" x14ac:dyDescent="0.25">
      <c r="A181" s="3" t="s">
        <v>170</v>
      </c>
      <c r="B181" s="5">
        <f>12870.58</f>
        <v>12870.58</v>
      </c>
      <c r="C181" s="4">
        <f t="shared" si="5"/>
        <v>15444.696</v>
      </c>
      <c r="D181" s="11">
        <v>5000</v>
      </c>
    </row>
    <row r="182" spans="1:4" x14ac:dyDescent="0.25">
      <c r="A182" s="3" t="s">
        <v>171</v>
      </c>
      <c r="B182" s="5">
        <f>6088.29</f>
        <v>6088.29</v>
      </c>
      <c r="C182" s="4">
        <f t="shared" si="5"/>
        <v>7305.9479999999994</v>
      </c>
      <c r="D182" s="11">
        <v>5000</v>
      </c>
    </row>
    <row r="183" spans="1:4" x14ac:dyDescent="0.25">
      <c r="A183" s="3" t="s">
        <v>172</v>
      </c>
      <c r="B183" s="5">
        <f>104.48</f>
        <v>104.48</v>
      </c>
      <c r="C183" s="4">
        <f t="shared" si="5"/>
        <v>125.376</v>
      </c>
      <c r="D183" s="11">
        <v>200</v>
      </c>
    </row>
    <row r="184" spans="1:4" x14ac:dyDescent="0.25">
      <c r="A184" s="3" t="s">
        <v>173</v>
      </c>
      <c r="B184" s="5">
        <f>864.58</f>
        <v>864.58</v>
      </c>
      <c r="C184" s="4">
        <f t="shared" si="5"/>
        <v>1037.4960000000001</v>
      </c>
      <c r="D184" s="11">
        <v>1000</v>
      </c>
    </row>
    <row r="185" spans="1:4" x14ac:dyDescent="0.25">
      <c r="A185" s="3" t="s">
        <v>174</v>
      </c>
      <c r="B185" s="6">
        <f>(((((((B177)+(B178))+(B179))+(B180))+(B181))+(B182))+(B183))+(B184)</f>
        <v>28676.120000000003</v>
      </c>
      <c r="C185" s="4">
        <f t="shared" si="5"/>
        <v>34411.344000000005</v>
      </c>
      <c r="D185" s="6">
        <f>(((((((D177)+(D178))+(D179))+(D180))+(D181))+(D182))+(D183))+(D184)</f>
        <v>22200</v>
      </c>
    </row>
    <row r="186" spans="1:4" x14ac:dyDescent="0.25">
      <c r="A186" s="3" t="s">
        <v>175</v>
      </c>
      <c r="B186" s="5">
        <f>0</f>
        <v>0</v>
      </c>
      <c r="C186" s="4" t="str">
        <f t="shared" si="5"/>
        <v/>
      </c>
      <c r="D186" s="11"/>
    </row>
    <row r="187" spans="1:4" x14ac:dyDescent="0.25">
      <c r="A187" s="3" t="s">
        <v>176</v>
      </c>
      <c r="B187" s="5">
        <f>1053.6</f>
        <v>1053.5999999999999</v>
      </c>
      <c r="C187" s="4">
        <f t="shared" si="5"/>
        <v>1264.32</v>
      </c>
      <c r="D187" s="11">
        <v>1000</v>
      </c>
    </row>
    <row r="188" spans="1:4" x14ac:dyDescent="0.25">
      <c r="A188" s="3" t="s">
        <v>177</v>
      </c>
      <c r="B188" s="5">
        <f>2632.43</f>
        <v>2632.43</v>
      </c>
      <c r="C188" s="4">
        <f t="shared" si="5"/>
        <v>3158.9159999999997</v>
      </c>
      <c r="D188" s="11">
        <v>2000</v>
      </c>
    </row>
    <row r="189" spans="1:4" x14ac:dyDescent="0.25">
      <c r="A189" s="3" t="s">
        <v>178</v>
      </c>
      <c r="B189" s="5">
        <f>655</f>
        <v>655</v>
      </c>
      <c r="C189" s="4">
        <f t="shared" si="5"/>
        <v>786</v>
      </c>
      <c r="D189" s="11">
        <v>700</v>
      </c>
    </row>
    <row r="190" spans="1:4" x14ac:dyDescent="0.25">
      <c r="A190" s="3" t="s">
        <v>179</v>
      </c>
      <c r="B190" s="5">
        <f>310</f>
        <v>310</v>
      </c>
      <c r="C190" s="4">
        <f t="shared" si="5"/>
        <v>372</v>
      </c>
      <c r="D190" s="11">
        <v>300</v>
      </c>
    </row>
    <row r="191" spans="1:4" x14ac:dyDescent="0.25">
      <c r="A191" s="3" t="s">
        <v>180</v>
      </c>
      <c r="B191" s="6">
        <f>(((B187)+(B188))+(B189))+(B190)</f>
        <v>4651.03</v>
      </c>
      <c r="C191" s="4">
        <f t="shared" si="5"/>
        <v>5581.2359999999999</v>
      </c>
      <c r="D191" s="6">
        <f>(((D187)+(D188))+(D189))+(D190)</f>
        <v>4000</v>
      </c>
    </row>
    <row r="192" spans="1:4" x14ac:dyDescent="0.25">
      <c r="A192" s="3" t="s">
        <v>181</v>
      </c>
      <c r="B192" s="5">
        <f>965.15</f>
        <v>965.15</v>
      </c>
      <c r="C192" s="4">
        <f t="shared" si="5"/>
        <v>1158.1799999999998</v>
      </c>
      <c r="D192" s="11">
        <v>1200</v>
      </c>
    </row>
    <row r="193" spans="1:4" x14ac:dyDescent="0.25">
      <c r="A193" s="3" t="s">
        <v>182</v>
      </c>
      <c r="B193" s="4"/>
      <c r="C193" s="4" t="str">
        <f t="shared" si="5"/>
        <v/>
      </c>
      <c r="D193" s="11"/>
    </row>
    <row r="194" spans="1:4" x14ac:dyDescent="0.25">
      <c r="A194" s="3" t="s">
        <v>183</v>
      </c>
      <c r="B194" s="5">
        <f>2534.2</f>
        <v>2534.1999999999998</v>
      </c>
      <c r="C194" s="4">
        <f t="shared" si="5"/>
        <v>3041.0399999999995</v>
      </c>
      <c r="D194" s="11">
        <v>3000</v>
      </c>
    </row>
    <row r="195" spans="1:4" x14ac:dyDescent="0.25">
      <c r="A195" s="3" t="s">
        <v>184</v>
      </c>
      <c r="B195" s="5">
        <f>618.05</f>
        <v>618.04999999999995</v>
      </c>
      <c r="C195" s="4">
        <f t="shared" si="5"/>
        <v>741.66</v>
      </c>
      <c r="D195" s="11">
        <v>1000</v>
      </c>
    </row>
    <row r="196" spans="1:4" x14ac:dyDescent="0.25">
      <c r="A196" s="3" t="s">
        <v>185</v>
      </c>
      <c r="B196" s="5">
        <f>1537.3</f>
        <v>1537.3</v>
      </c>
      <c r="C196" s="4">
        <f t="shared" si="5"/>
        <v>1844.7599999999998</v>
      </c>
      <c r="D196" s="11">
        <v>2000</v>
      </c>
    </row>
    <row r="197" spans="1:4" x14ac:dyDescent="0.25">
      <c r="A197" s="3" t="s">
        <v>186</v>
      </c>
      <c r="B197" s="5">
        <f>1081</f>
        <v>1081</v>
      </c>
      <c r="C197" s="4">
        <f t="shared" si="5"/>
        <v>1297.2</v>
      </c>
      <c r="D197" s="11">
        <v>2000</v>
      </c>
    </row>
    <row r="198" spans="1:4" x14ac:dyDescent="0.25">
      <c r="A198" s="3" t="s">
        <v>187</v>
      </c>
      <c r="B198" s="4"/>
      <c r="C198" s="4" t="str">
        <f t="shared" si="5"/>
        <v/>
      </c>
      <c r="D198" s="11"/>
    </row>
    <row r="199" spans="1:4" x14ac:dyDescent="0.25">
      <c r="A199" s="3" t="s">
        <v>188</v>
      </c>
      <c r="B199" s="5">
        <f>655.76</f>
        <v>655.76</v>
      </c>
      <c r="C199" s="4">
        <f t="shared" si="5"/>
        <v>786.91199999999992</v>
      </c>
      <c r="D199" s="11">
        <v>3000</v>
      </c>
    </row>
    <row r="200" spans="1:4" x14ac:dyDescent="0.25">
      <c r="A200" s="3" t="s">
        <v>189</v>
      </c>
      <c r="B200" s="6">
        <f>(B198)+(B199)</f>
        <v>655.76</v>
      </c>
      <c r="C200" s="4">
        <f t="shared" si="5"/>
        <v>786.91199999999992</v>
      </c>
      <c r="D200" s="6">
        <f>(D198)+(D199)</f>
        <v>3000</v>
      </c>
    </row>
    <row r="201" spans="1:4" x14ac:dyDescent="0.25">
      <c r="A201" s="3" t="s">
        <v>190</v>
      </c>
      <c r="B201" s="6">
        <f>(((((B193)+(B194))+(B195))+(B196))+(B197))+(B200)</f>
        <v>6426.31</v>
      </c>
      <c r="C201" s="4">
        <f t="shared" si="5"/>
        <v>7711.5720000000001</v>
      </c>
      <c r="D201" s="6">
        <f>(((((D193)+(D194))+(D195))+(D196))+(D197))+(D200)</f>
        <v>11000</v>
      </c>
    </row>
    <row r="202" spans="1:4" x14ac:dyDescent="0.25">
      <c r="A202" s="3"/>
      <c r="B202" s="7"/>
      <c r="C202" s="4"/>
      <c r="D202" s="11"/>
    </row>
    <row r="203" spans="1:4" x14ac:dyDescent="0.25">
      <c r="A203" s="3" t="s">
        <v>191</v>
      </c>
      <c r="B203" s="5">
        <f>2301.15</f>
        <v>2301.15</v>
      </c>
      <c r="C203" s="4">
        <f t="shared" si="5"/>
        <v>2761.38</v>
      </c>
      <c r="D203" s="11">
        <v>2500</v>
      </c>
    </row>
    <row r="204" spans="1:4" x14ac:dyDescent="0.25">
      <c r="A204" s="3" t="s">
        <v>192</v>
      </c>
      <c r="B204" s="6">
        <f>(((((((((((((((((B102)+(B108))+(B111))+(B117))+(B121))+(B122))+(B131))+(B139))+(B150))+(B160))+(B176))+(B185))+(B186))+(B191))+(B192))+(B201))+(B202))+(B203)</f>
        <v>1400145.55</v>
      </c>
      <c r="C204" s="4">
        <f t="shared" ref="C204:C220" si="6">IF((B204*1.2)=0,"",B204*1.2)</f>
        <v>1680174.66</v>
      </c>
      <c r="D204" s="6">
        <f>(((((((((((((((((D102)+(D108))+(D111))+(D117))+(D121))+(D122))+(D131))+(D139))+(D150))+(D160))+(D176))+(D185))+(D186))+(D191))+(D192))+(D201))+(D202))+(D203)</f>
        <v>1254573</v>
      </c>
    </row>
    <row r="205" spans="1:4" x14ac:dyDescent="0.25">
      <c r="A205" s="3" t="s">
        <v>193</v>
      </c>
      <c r="B205" s="6">
        <f>(B88-(B204))</f>
        <v>566343.95000000019</v>
      </c>
      <c r="C205" s="4">
        <f t="shared" si="6"/>
        <v>679612.74000000022</v>
      </c>
      <c r="D205" s="6">
        <f>(D88-(D204))</f>
        <v>84375.610000000102</v>
      </c>
    </row>
    <row r="206" spans="1:4" x14ac:dyDescent="0.25">
      <c r="A206" s="3" t="s">
        <v>194</v>
      </c>
      <c r="B206" s="4"/>
      <c r="C206" s="4" t="str">
        <f t="shared" si="6"/>
        <v/>
      </c>
      <c r="D206" s="10"/>
    </row>
    <row r="207" spans="1:4" x14ac:dyDescent="0.25">
      <c r="A207" s="3" t="s">
        <v>195</v>
      </c>
      <c r="B207" s="5">
        <f>33.58</f>
        <v>33.58</v>
      </c>
      <c r="C207" s="4">
        <f t="shared" si="6"/>
        <v>40.295999999999999</v>
      </c>
      <c r="D207" s="11">
        <v>0</v>
      </c>
    </row>
    <row r="208" spans="1:4" x14ac:dyDescent="0.25">
      <c r="A208" s="3" t="s">
        <v>196</v>
      </c>
      <c r="B208" s="5">
        <f>596.52</f>
        <v>596.52</v>
      </c>
      <c r="C208" s="4">
        <f t="shared" si="6"/>
        <v>715.82399999999996</v>
      </c>
      <c r="D208" s="11">
        <v>750</v>
      </c>
    </row>
    <row r="209" spans="1:4" x14ac:dyDescent="0.25">
      <c r="A209" s="3" t="s">
        <v>197</v>
      </c>
      <c r="B209" s="5">
        <f>98</f>
        <v>98</v>
      </c>
      <c r="C209" s="4">
        <f t="shared" si="6"/>
        <v>117.6</v>
      </c>
      <c r="D209" s="11">
        <v>0</v>
      </c>
    </row>
    <row r="210" spans="1:4" x14ac:dyDescent="0.25">
      <c r="A210" s="3" t="s">
        <v>198</v>
      </c>
      <c r="B210" s="5">
        <f>751.35</f>
        <v>751.35</v>
      </c>
      <c r="C210" s="4">
        <f t="shared" si="6"/>
        <v>901.62</v>
      </c>
      <c r="D210" s="11">
        <v>1200</v>
      </c>
    </row>
    <row r="211" spans="1:4" x14ac:dyDescent="0.25">
      <c r="A211" s="3" t="s">
        <v>199</v>
      </c>
      <c r="B211" s="6">
        <f>(((B207)+(B208))+(B209))+(B210)</f>
        <v>1479.45</v>
      </c>
      <c r="C211" s="4">
        <f t="shared" si="6"/>
        <v>1775.34</v>
      </c>
      <c r="D211" s="6">
        <f>(((D207)+(D208))+(D209))+(D210)</f>
        <v>1950</v>
      </c>
    </row>
    <row r="212" spans="1:4" x14ac:dyDescent="0.25">
      <c r="A212" s="3" t="s">
        <v>200</v>
      </c>
      <c r="B212" s="4"/>
      <c r="C212" s="4" t="str">
        <f t="shared" si="6"/>
        <v/>
      </c>
      <c r="D212" s="10"/>
    </row>
    <row r="213" spans="1:4" x14ac:dyDescent="0.25">
      <c r="A213" s="3" t="s">
        <v>201</v>
      </c>
      <c r="B213" s="5">
        <f>48908.72</f>
        <v>48908.72</v>
      </c>
      <c r="C213" s="4">
        <f t="shared" si="6"/>
        <v>58690.464</v>
      </c>
      <c r="D213" s="11">
        <v>60000</v>
      </c>
    </row>
    <row r="214" spans="1:4" x14ac:dyDescent="0.25">
      <c r="A214" s="3" t="s">
        <v>202</v>
      </c>
      <c r="B214" s="5">
        <f>52.98</f>
        <v>52.98</v>
      </c>
      <c r="C214" s="4">
        <f t="shared" si="6"/>
        <v>63.575999999999993</v>
      </c>
      <c r="D214" s="11">
        <v>100</v>
      </c>
    </row>
    <row r="215" spans="1:4" x14ac:dyDescent="0.25">
      <c r="A215" s="3" t="s">
        <v>203</v>
      </c>
      <c r="B215" s="5">
        <f>178</f>
        <v>178</v>
      </c>
      <c r="C215" s="4">
        <f t="shared" si="6"/>
        <v>213.6</v>
      </c>
      <c r="D215" s="11">
        <v>200</v>
      </c>
    </row>
    <row r="216" spans="1:4" x14ac:dyDescent="0.25">
      <c r="A216" s="3" t="s">
        <v>204</v>
      </c>
      <c r="B216" s="5">
        <f>1473</f>
        <v>1473</v>
      </c>
      <c r="C216" s="4">
        <f t="shared" si="6"/>
        <v>1767.6</v>
      </c>
      <c r="D216" s="11">
        <v>1500</v>
      </c>
    </row>
    <row r="217" spans="1:4" x14ac:dyDescent="0.25">
      <c r="A217" s="3" t="s">
        <v>205</v>
      </c>
      <c r="B217" s="6">
        <f>((B214)+(B215))+(B216)</f>
        <v>1703.98</v>
      </c>
      <c r="C217" s="4">
        <f t="shared" si="6"/>
        <v>2044.7759999999998</v>
      </c>
      <c r="D217" s="6">
        <f>((D214)+(D215))+(D216)</f>
        <v>1800</v>
      </c>
    </row>
    <row r="218" spans="1:4" x14ac:dyDescent="0.25">
      <c r="A218" s="3" t="s">
        <v>206</v>
      </c>
      <c r="B218" s="6">
        <f>(B213)+(B217)</f>
        <v>50612.700000000004</v>
      </c>
      <c r="C218" s="4">
        <f t="shared" si="6"/>
        <v>60735.240000000005</v>
      </c>
      <c r="D218" s="6">
        <f>(D213)+(D217)</f>
        <v>61800</v>
      </c>
    </row>
    <row r="219" spans="1:4" x14ac:dyDescent="0.25">
      <c r="A219" s="3" t="s">
        <v>207</v>
      </c>
      <c r="B219" s="8">
        <f>(B211)-(B218)</f>
        <v>-49133.250000000007</v>
      </c>
      <c r="C219" s="4">
        <f t="shared" si="6"/>
        <v>-58959.900000000009</v>
      </c>
      <c r="D219" s="8">
        <f>(D211)-(D218)</f>
        <v>-59850</v>
      </c>
    </row>
    <row r="220" spans="1:4" x14ac:dyDescent="0.25">
      <c r="A220" s="3" t="s">
        <v>208</v>
      </c>
      <c r="B220" s="9">
        <f>(B205)+(B219)</f>
        <v>517210.70000000019</v>
      </c>
      <c r="C220" s="4">
        <f t="shared" si="6"/>
        <v>620652.8400000002</v>
      </c>
      <c r="D220" s="9">
        <f>(D205)+(D219)</f>
        <v>24525.610000000102</v>
      </c>
    </row>
    <row r="221" spans="1:4" x14ac:dyDescent="0.25">
      <c r="A221" s="3" t="s">
        <v>232</v>
      </c>
      <c r="B221" s="4"/>
      <c r="C221" s="4"/>
      <c r="D221" s="25">
        <v>42365</v>
      </c>
    </row>
    <row r="224" spans="1:4" x14ac:dyDescent="0.25">
      <c r="A224" s="20" t="s">
        <v>209</v>
      </c>
      <c r="B224" s="21"/>
      <c r="C224" s="21"/>
      <c r="D224" s="21"/>
    </row>
  </sheetData>
  <mergeCells count="5">
    <mergeCell ref="B5:D5"/>
    <mergeCell ref="A224:D224"/>
    <mergeCell ref="A1:D1"/>
    <mergeCell ref="A2:D2"/>
    <mergeCell ref="A3:D3"/>
  </mergeCells>
  <pageMargins left="0.25" right="0.25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BF2016644A7B1478F6756393EF1A7FF" ma:contentTypeVersion="7" ma:contentTypeDescription="Create a new document." ma:contentTypeScope="" ma:versionID="82e2d8a5e222d739e873fed8b4830f71">
  <xsd:schema xmlns:xsd="http://www.w3.org/2001/XMLSchema" xmlns:xs="http://www.w3.org/2001/XMLSchema" xmlns:p="http://schemas.microsoft.com/office/2006/metadata/properties" xmlns:ns2="cc9026d3-9430-40cb-8db7-9b09580b99d9" xmlns:ns3="eaada65e-aab1-43af-b5b3-3f497bdbd437" targetNamespace="http://schemas.microsoft.com/office/2006/metadata/properties" ma:root="true" ma:fieldsID="1b025c587109061e841bc573321ada08" ns2:_="" ns3:_="">
    <xsd:import namespace="cc9026d3-9430-40cb-8db7-9b09580b99d9"/>
    <xsd:import namespace="eaada65e-aab1-43af-b5b3-3f497bdbd43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9026d3-9430-40cb-8db7-9b09580b99d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1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ada65e-aab1-43af-b5b3-3f497bdbd437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30A200D-1568-4FBD-9670-47F29FB2EF84}"/>
</file>

<file path=customXml/itemProps2.xml><?xml version="1.0" encoding="utf-8"?>
<ds:datastoreItem xmlns:ds="http://schemas.openxmlformats.org/officeDocument/2006/customXml" ds:itemID="{34B25466-FC38-4BC8-9876-80D2101E9A99}"/>
</file>

<file path=customXml/itemProps3.xml><?xml version="1.0" encoding="utf-8"?>
<ds:datastoreItem xmlns:ds="http://schemas.openxmlformats.org/officeDocument/2006/customXml" ds:itemID="{76F4C80F-AFE5-4C46-ACE9-300F5D7E78D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Statement of Activity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Zachary Moser</cp:lastModifiedBy>
  <cp:lastPrinted>2023-11-13T13:59:00Z</cp:lastPrinted>
  <dcterms:created xsi:type="dcterms:W3CDTF">2023-11-03T15:23:40Z</dcterms:created>
  <dcterms:modified xsi:type="dcterms:W3CDTF">2023-12-13T21:08:59Z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0x0101002BF2016644A7B1478F6756393EF1A7FF</vt:lpwstr>
  </property>
</Properties>
</file>